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P:\State Facils Directors\State-level Info\Alaska\"/>
    </mc:Choice>
  </mc:AlternateContent>
  <xr:revisionPtr revIDLastSave="0" documentId="8_{21A2C534-63D8-4649-83FA-DCB0CE56744A}" xr6:coauthVersionLast="44" xr6:coauthVersionMax="44" xr10:uidLastSave="{00000000-0000-0000-0000-000000000000}"/>
  <bookViews>
    <workbookView xWindow="-19320" yWindow="-1125" windowWidth="19440" windowHeight="15000" xr2:uid="{C7809ACB-8924-429E-B9BD-572D4E6D48C5}"/>
  </bookViews>
  <sheets>
    <sheet name="Summary" sheetId="5" r:id="rId1"/>
    <sheet name="Development Costs" sheetId="2" r:id="rId2"/>
    <sheet name="Update Costs" sheetId="6" r:id="rId3"/>
    <sheet name="Cost Scenarios" sheetId="9" r:id="rId4"/>
    <sheet name="Benefits" sheetId="4" r:id="rId5"/>
    <sheet name="Staff Costs" sheetId="8" r:id="rId6"/>
    <sheet name="Sources" sheetId="7" r:id="rId7"/>
    <sheet name="ESRI_MAPINFO_SHEET" sheetId="10" state="veryHidden" r:id="rId8"/>
  </sheets>
  <definedNames>
    <definedName name="_xlnm.Print_Area" localSheetId="4">Benefits!$A$1:$F$110</definedName>
    <definedName name="_xlnm.Print_Area" localSheetId="3">'Cost Scenarios'!$A$1:$K$59</definedName>
    <definedName name="_xlnm.Print_Area" localSheetId="1">'Development Costs'!$A$1:$G$64</definedName>
    <definedName name="_xlnm.Print_Area" localSheetId="6">Sources!$A$1:$D$7</definedName>
    <definedName name="_xlnm.Print_Area" localSheetId="5">'Staff Costs'!$A$1:$V$42</definedName>
    <definedName name="_xlnm.Print_Area" localSheetId="0">Summary!$A$1:$I$39</definedName>
    <definedName name="_xlnm.Print_Area" localSheetId="2">'Update Costs'!$A$1:$N$50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4" i="6" l="1"/>
  <c r="K34" i="6"/>
  <c r="I34" i="6"/>
  <c r="J34" i="6"/>
  <c r="H34" i="6"/>
  <c r="I26" i="9"/>
  <c r="H26" i="9"/>
  <c r="M34" i="6" l="1"/>
  <c r="L19" i="6" l="1"/>
  <c r="K19" i="6"/>
  <c r="J19" i="6"/>
  <c r="I19" i="6"/>
  <c r="H19" i="6"/>
  <c r="E14" i="5" l="1"/>
  <c r="F14" i="5"/>
  <c r="G14" i="5"/>
  <c r="H14" i="5"/>
  <c r="D14" i="5"/>
  <c r="I41" i="9" l="1"/>
  <c r="J41" i="9"/>
  <c r="K41" i="9"/>
  <c r="H41" i="9"/>
  <c r="C41" i="9"/>
  <c r="D41" i="9"/>
  <c r="E41" i="9"/>
  <c r="B34" i="2"/>
  <c r="B41" i="9"/>
  <c r="I43" i="9"/>
  <c r="J43" i="9"/>
  <c r="K43" i="9"/>
  <c r="H43" i="9"/>
  <c r="C104" i="4"/>
  <c r="B104" i="4"/>
  <c r="D104" i="4" s="1"/>
  <c r="D108" i="4"/>
  <c r="B98" i="4"/>
  <c r="D90" i="4"/>
  <c r="B87" i="4"/>
  <c r="B81" i="4"/>
  <c r="D79" i="4"/>
  <c r="D74" i="4"/>
  <c r="D75" i="4"/>
  <c r="D76" i="4"/>
  <c r="D77" i="4"/>
  <c r="C73" i="4"/>
  <c r="B73" i="4"/>
  <c r="D69" i="4"/>
  <c r="D68" i="4"/>
  <c r="D67" i="4"/>
  <c r="C66" i="4"/>
  <c r="B66" i="4"/>
  <c r="D64" i="4"/>
  <c r="D63" i="4"/>
  <c r="D62" i="4"/>
  <c r="C60" i="4"/>
  <c r="B60" i="4"/>
  <c r="D61" i="4"/>
  <c r="D52" i="4"/>
  <c r="B50" i="4"/>
  <c r="B44" i="4"/>
  <c r="D42" i="4"/>
  <c r="D21" i="4"/>
  <c r="D22" i="4"/>
  <c r="D23" i="4"/>
  <c r="D20" i="4"/>
  <c r="D31" i="4"/>
  <c r="D32" i="4"/>
  <c r="D30" i="4"/>
  <c r="D38" i="4"/>
  <c r="D39" i="4"/>
  <c r="D40" i="4"/>
  <c r="D37" i="4"/>
  <c r="C36" i="4"/>
  <c r="B36" i="4"/>
  <c r="C29" i="4"/>
  <c r="B29" i="4"/>
  <c r="C19" i="4"/>
  <c r="B19" i="4"/>
  <c r="B110" i="4" l="1"/>
  <c r="B93" i="4"/>
  <c r="D66" i="4"/>
  <c r="I36" i="6" l="1"/>
  <c r="J36" i="6"/>
  <c r="K36" i="6"/>
  <c r="L36" i="6"/>
  <c r="N33" i="6"/>
  <c r="I33" i="6"/>
  <c r="J33" i="6"/>
  <c r="K33" i="6"/>
  <c r="L33" i="6"/>
  <c r="H33" i="6"/>
  <c r="H36" i="6" s="1"/>
  <c r="N35" i="6"/>
  <c r="M35" i="6"/>
  <c r="H35" i="6"/>
  <c r="I35" i="6"/>
  <c r="J35" i="6"/>
  <c r="K35" i="6"/>
  <c r="L35" i="6"/>
  <c r="E35" i="2"/>
  <c r="E34" i="2"/>
  <c r="G34" i="2" s="1"/>
  <c r="E36" i="2"/>
  <c r="G36" i="2" s="1"/>
  <c r="D43" i="9" l="1"/>
  <c r="B43" i="9"/>
  <c r="E43" i="9"/>
  <c r="C43" i="9"/>
  <c r="N36" i="6"/>
  <c r="M33" i="6"/>
  <c r="D99" i="4"/>
  <c r="D100" i="4"/>
  <c r="D101" i="4"/>
  <c r="D102" i="4"/>
  <c r="D105" i="4"/>
  <c r="D106" i="4"/>
  <c r="D107" i="4"/>
  <c r="C98" i="4"/>
  <c r="D71" i="4"/>
  <c r="D82" i="4"/>
  <c r="D83" i="4"/>
  <c r="D84" i="4"/>
  <c r="D85" i="4"/>
  <c r="D88" i="4"/>
  <c r="D89" i="4"/>
  <c r="D91" i="4"/>
  <c r="D60" i="4"/>
  <c r="C87" i="4"/>
  <c r="C81" i="4"/>
  <c r="C93" i="4" l="1"/>
  <c r="D93" i="4" s="1"/>
  <c r="C110" i="4"/>
  <c r="C15" i="4" s="1"/>
  <c r="D87" i="4"/>
  <c r="D81" i="4"/>
  <c r="D73" i="4"/>
  <c r="C50" i="4"/>
  <c r="C44" i="4"/>
  <c r="B56" i="4"/>
  <c r="D25" i="4"/>
  <c r="D29" i="4"/>
  <c r="D34" i="4"/>
  <c r="D45" i="4"/>
  <c r="D46" i="4"/>
  <c r="D47" i="4"/>
  <c r="D48" i="4"/>
  <c r="D51" i="4"/>
  <c r="D53" i="4"/>
  <c r="D54" i="4"/>
  <c r="D19" i="4"/>
  <c r="C14" i="4" l="1"/>
  <c r="C56" i="4"/>
  <c r="C13" i="4" s="1"/>
  <c r="B15" i="4"/>
  <c r="D15" i="4" s="1"/>
  <c r="D98" i="4"/>
  <c r="D110" i="4" s="1"/>
  <c r="B14" i="4"/>
  <c r="B13" i="4"/>
  <c r="D27" i="4"/>
  <c r="D44" i="4"/>
  <c r="D50" i="4"/>
  <c r="D36" i="4"/>
  <c r="I37" i="9"/>
  <c r="J37" i="9"/>
  <c r="K37" i="9"/>
  <c r="H37" i="9"/>
  <c r="H36" i="9"/>
  <c r="H38" i="9" s="1"/>
  <c r="I36" i="9"/>
  <c r="J36" i="9"/>
  <c r="K36" i="9"/>
  <c r="I27" i="9"/>
  <c r="J26" i="9"/>
  <c r="J27" i="9" s="1"/>
  <c r="K26" i="9"/>
  <c r="K27" i="9" s="1"/>
  <c r="H27" i="9"/>
  <c r="K21" i="9"/>
  <c r="I21" i="9"/>
  <c r="J21" i="9"/>
  <c r="H21" i="9"/>
  <c r="I20" i="9"/>
  <c r="J20" i="9"/>
  <c r="K20" i="9"/>
  <c r="H20" i="9"/>
  <c r="J42" i="9"/>
  <c r="J45" i="9" s="1"/>
  <c r="K42" i="9"/>
  <c r="K45" i="9" s="1"/>
  <c r="I42" i="9"/>
  <c r="I45" i="9" s="1"/>
  <c r="H42" i="9"/>
  <c r="H45" i="9" s="1"/>
  <c r="N34" i="6"/>
  <c r="N19" i="6"/>
  <c r="E42" i="9"/>
  <c r="C42" i="9"/>
  <c r="D42" i="9"/>
  <c r="B42" i="9"/>
  <c r="C21" i="9"/>
  <c r="D21" i="9"/>
  <c r="E21" i="9"/>
  <c r="B21" i="9"/>
  <c r="C20" i="9"/>
  <c r="D20" i="9"/>
  <c r="E20" i="9"/>
  <c r="B20" i="9"/>
  <c r="F61" i="2"/>
  <c r="F56" i="2"/>
  <c r="F55" i="2"/>
  <c r="F51" i="2"/>
  <c r="F50" i="2"/>
  <c r="F49" i="2"/>
  <c r="E30" i="2"/>
  <c r="E29" i="2"/>
  <c r="E28" i="2"/>
  <c r="F12" i="2"/>
  <c r="E12" i="2"/>
  <c r="F15" i="2"/>
  <c r="E15" i="2"/>
  <c r="C19" i="2"/>
  <c r="F19" i="2" s="1"/>
  <c r="F20" i="2" s="1"/>
  <c r="B19" i="2"/>
  <c r="E19" i="2" s="1"/>
  <c r="E20" i="2" s="1"/>
  <c r="E26" i="9" l="1"/>
  <c r="E27" i="9" s="1"/>
  <c r="C26" i="9"/>
  <c r="C27" i="9" s="1"/>
  <c r="B26" i="9"/>
  <c r="B27" i="9" s="1"/>
  <c r="D26" i="9"/>
  <c r="D27" i="9" s="1"/>
  <c r="I38" i="9"/>
  <c r="J38" i="9"/>
  <c r="H47" i="9"/>
  <c r="H6" i="9" s="1"/>
  <c r="K38" i="9"/>
  <c r="K47" i="9" s="1"/>
  <c r="K6" i="9" s="1"/>
  <c r="I47" i="9"/>
  <c r="I6" i="9" s="1"/>
  <c r="J47" i="9"/>
  <c r="J6" i="9" s="1"/>
  <c r="D13" i="4"/>
  <c r="F13" i="4" s="1"/>
  <c r="B26" i="5" s="1"/>
  <c r="B27" i="5" s="1"/>
  <c r="B21" i="5"/>
  <c r="F15" i="4"/>
  <c r="E15" i="4"/>
  <c r="D56" i="4"/>
  <c r="B19" i="5"/>
  <c r="E13" i="4"/>
  <c r="M19" i="6"/>
  <c r="G15" i="2"/>
  <c r="D22" i="9"/>
  <c r="E22" i="9"/>
  <c r="B22" i="9"/>
  <c r="C22" i="9"/>
  <c r="D14" i="4"/>
  <c r="I45" i="6"/>
  <c r="J45" i="6"/>
  <c r="K45" i="6"/>
  <c r="L45" i="6"/>
  <c r="H45" i="6"/>
  <c r="I47" i="6"/>
  <c r="J47" i="6"/>
  <c r="K47" i="6"/>
  <c r="L47" i="6"/>
  <c r="H47" i="6"/>
  <c r="I46" i="6"/>
  <c r="J46" i="6"/>
  <c r="K46" i="6"/>
  <c r="L46" i="6"/>
  <c r="H46" i="6"/>
  <c r="I29" i="6"/>
  <c r="J29" i="6"/>
  <c r="K29" i="6"/>
  <c r="L29" i="6"/>
  <c r="H29" i="6"/>
  <c r="I28" i="6"/>
  <c r="J28" i="6"/>
  <c r="K28" i="6"/>
  <c r="L28" i="6"/>
  <c r="H28" i="6"/>
  <c r="H13" i="6"/>
  <c r="B20" i="5" l="1"/>
  <c r="F14" i="4"/>
  <c r="B31" i="5" s="1"/>
  <c r="B32" i="5" s="1"/>
  <c r="B34" i="5" s="1"/>
  <c r="E14" i="4"/>
  <c r="N46" i="6"/>
  <c r="N28" i="6"/>
  <c r="N47" i="6"/>
  <c r="N29" i="6"/>
  <c r="N45" i="6"/>
  <c r="M46" i="6"/>
  <c r="K48" i="6"/>
  <c r="K50" i="6" s="1"/>
  <c r="J48" i="6"/>
  <c r="L30" i="6"/>
  <c r="L38" i="6" s="1"/>
  <c r="H13" i="5" s="1"/>
  <c r="M47" i="6"/>
  <c r="M29" i="6"/>
  <c r="H48" i="6"/>
  <c r="I48" i="6"/>
  <c r="K30" i="6"/>
  <c r="K38" i="6" s="1"/>
  <c r="G13" i="5" s="1"/>
  <c r="L48" i="6"/>
  <c r="L50" i="6" s="1"/>
  <c r="M45" i="6"/>
  <c r="H30" i="6"/>
  <c r="I30" i="6"/>
  <c r="J30" i="6"/>
  <c r="J38" i="6" s="1"/>
  <c r="F13" i="5" s="1"/>
  <c r="M28" i="6"/>
  <c r="I20" i="6"/>
  <c r="K20" i="6"/>
  <c r="L20" i="6"/>
  <c r="H20" i="6"/>
  <c r="J20" i="6"/>
  <c r="I15" i="6"/>
  <c r="J15" i="6"/>
  <c r="K15" i="6"/>
  <c r="L15" i="6"/>
  <c r="H15" i="6"/>
  <c r="I14" i="6"/>
  <c r="J14" i="6"/>
  <c r="K14" i="6"/>
  <c r="L14" i="6"/>
  <c r="H14" i="6"/>
  <c r="J13" i="6"/>
  <c r="K13" i="6"/>
  <c r="L13" i="6"/>
  <c r="I13" i="6"/>
  <c r="I16" i="6" s="1"/>
  <c r="T11" i="8"/>
  <c r="Q11" i="8"/>
  <c r="R11" i="8"/>
  <c r="S11" i="8"/>
  <c r="U11" i="8"/>
  <c r="V11" i="8"/>
  <c r="Q12" i="8"/>
  <c r="R12" i="8"/>
  <c r="S12" i="8"/>
  <c r="T12" i="8"/>
  <c r="U12" i="8"/>
  <c r="V12" i="8"/>
  <c r="Q13" i="8"/>
  <c r="R13" i="8"/>
  <c r="S13" i="8"/>
  <c r="T13" i="8"/>
  <c r="U13" i="8"/>
  <c r="V13" i="8"/>
  <c r="Q14" i="8"/>
  <c r="R14" i="8"/>
  <c r="S14" i="8"/>
  <c r="T14" i="8"/>
  <c r="U14" i="8"/>
  <c r="V14" i="8"/>
  <c r="P14" i="8"/>
  <c r="P13" i="8"/>
  <c r="P12" i="8"/>
  <c r="P11" i="8"/>
  <c r="K11" i="8"/>
  <c r="L11" i="8"/>
  <c r="M11" i="8"/>
  <c r="N11" i="8"/>
  <c r="O11" i="8" s="1"/>
  <c r="K12" i="8"/>
  <c r="L12" i="8"/>
  <c r="M12" i="8"/>
  <c r="N12" i="8" s="1"/>
  <c r="O12" i="8" s="1"/>
  <c r="K13" i="8"/>
  <c r="L13" i="8"/>
  <c r="M13" i="8" s="1"/>
  <c r="N13" i="8" s="1"/>
  <c r="O13" i="8" s="1"/>
  <c r="K14" i="8"/>
  <c r="L14" i="8" s="1"/>
  <c r="M14" i="8" s="1"/>
  <c r="N14" i="8" s="1"/>
  <c r="O14" i="8" s="1"/>
  <c r="J14" i="8"/>
  <c r="J13" i="8"/>
  <c r="J12" i="8"/>
  <c r="J11" i="8"/>
  <c r="H11" i="8"/>
  <c r="E11" i="8"/>
  <c r="F11" i="8" s="1"/>
  <c r="G11" i="8" s="1"/>
  <c r="E12" i="8"/>
  <c r="F12" i="8" s="1"/>
  <c r="G12" i="8" s="1"/>
  <c r="H12" i="8" s="1"/>
  <c r="E13" i="8"/>
  <c r="F13" i="8" s="1"/>
  <c r="G13" i="8" s="1"/>
  <c r="H13" i="8" s="1"/>
  <c r="E14" i="8"/>
  <c r="F14" i="8" s="1"/>
  <c r="G14" i="8" s="1"/>
  <c r="H14" i="8" s="1"/>
  <c r="D14" i="8"/>
  <c r="D13" i="8"/>
  <c r="D12" i="8"/>
  <c r="D11" i="8"/>
  <c r="C14" i="8"/>
  <c r="C13" i="8"/>
  <c r="C12" i="8"/>
  <c r="C11" i="8"/>
  <c r="I14" i="8"/>
  <c r="I13" i="8"/>
  <c r="I12" i="8"/>
  <c r="I11" i="8"/>
  <c r="B14" i="8"/>
  <c r="B13" i="8"/>
  <c r="B12" i="8"/>
  <c r="B11" i="8"/>
  <c r="N20" i="6" l="1"/>
  <c r="M30" i="6"/>
  <c r="N48" i="6"/>
  <c r="I52" i="9" s="1"/>
  <c r="I56" i="9" s="1"/>
  <c r="I7" i="9" s="1"/>
  <c r="N14" i="6"/>
  <c r="M48" i="6"/>
  <c r="M50" i="6" s="1"/>
  <c r="C7" i="6" s="1"/>
  <c r="J52" i="9"/>
  <c r="J56" i="9" s="1"/>
  <c r="J7" i="9" s="1"/>
  <c r="K52" i="9"/>
  <c r="K56" i="9" s="1"/>
  <c r="K7" i="9" s="1"/>
  <c r="H52" i="9"/>
  <c r="H56" i="9" s="1"/>
  <c r="H7" i="9" s="1"/>
  <c r="N15" i="6"/>
  <c r="H38" i="6"/>
  <c r="D13" i="5" s="1"/>
  <c r="N30" i="6"/>
  <c r="M13" i="6"/>
  <c r="I38" i="6"/>
  <c r="E13" i="5" s="1"/>
  <c r="N13" i="6"/>
  <c r="I50" i="6"/>
  <c r="J50" i="6"/>
  <c r="K16" i="6"/>
  <c r="K22" i="6" s="1"/>
  <c r="G12" i="5" s="1"/>
  <c r="H50" i="6"/>
  <c r="H16" i="6"/>
  <c r="M14" i="6"/>
  <c r="M15" i="6"/>
  <c r="M36" i="6"/>
  <c r="M38" i="6" s="1"/>
  <c r="C6" i="6" s="1"/>
  <c r="I22" i="6"/>
  <c r="E12" i="5" s="1"/>
  <c r="L16" i="6"/>
  <c r="L22" i="6" s="1"/>
  <c r="H12" i="5" s="1"/>
  <c r="J16" i="6"/>
  <c r="J22" i="6" s="1"/>
  <c r="F12" i="5" s="1"/>
  <c r="M20" i="6"/>
  <c r="N38" i="6" l="1"/>
  <c r="B6" i="6" s="1"/>
  <c r="I13" i="5" s="1"/>
  <c r="N16" i="6"/>
  <c r="H22" i="6"/>
  <c r="N50" i="6"/>
  <c r="B7" i="6" s="1"/>
  <c r="I14" i="5" s="1"/>
  <c r="H22" i="9"/>
  <c r="H23" i="9" s="1"/>
  <c r="H29" i="9" s="1"/>
  <c r="H5" i="9" s="1"/>
  <c r="I22" i="9"/>
  <c r="I23" i="9" s="1"/>
  <c r="I29" i="9" s="1"/>
  <c r="I5" i="9" s="1"/>
  <c r="J22" i="9"/>
  <c r="J23" i="9" s="1"/>
  <c r="J29" i="9" s="1"/>
  <c r="J5" i="9" s="1"/>
  <c r="K22" i="9"/>
  <c r="K23" i="9" s="1"/>
  <c r="K29" i="9" s="1"/>
  <c r="K5" i="9" s="1"/>
  <c r="M16" i="6"/>
  <c r="C60" i="2"/>
  <c r="F60" i="2" s="1"/>
  <c r="N22" i="6" l="1"/>
  <c r="B5" i="6" s="1"/>
  <c r="I12" i="5" s="1"/>
  <c r="D12" i="5"/>
  <c r="M22" i="6"/>
  <c r="C5" i="6" s="1"/>
  <c r="G35" i="2"/>
  <c r="E40" i="2"/>
  <c r="G40" i="2" s="1"/>
  <c r="E39" i="2"/>
  <c r="E38" i="2"/>
  <c r="G38" i="2" s="1"/>
  <c r="E37" i="2" l="1"/>
  <c r="E41" i="2" s="1"/>
  <c r="G41" i="2" s="1"/>
  <c r="G37" i="2"/>
  <c r="G39" i="2"/>
  <c r="J6" i="8"/>
  <c r="D44" i="9" l="1"/>
  <c r="D45" i="9" s="1"/>
  <c r="B44" i="9"/>
  <c r="B45" i="9" s="1"/>
  <c r="C44" i="9"/>
  <c r="C45" i="9" s="1"/>
  <c r="E44" i="9"/>
  <c r="E45" i="9" s="1"/>
  <c r="N6" i="8"/>
  <c r="B14" i="2"/>
  <c r="E14" i="2" s="1"/>
  <c r="C14" i="2"/>
  <c r="F14" i="2" s="1"/>
  <c r="C13" i="2"/>
  <c r="F13" i="2" s="1"/>
  <c r="B13" i="2"/>
  <c r="E13" i="2" s="1"/>
  <c r="G30" i="2" l="1"/>
  <c r="M6" i="8"/>
  <c r="K6" i="8"/>
  <c r="J3" i="8"/>
  <c r="N4" i="8"/>
  <c r="G29" i="2" s="1"/>
  <c r="J5" i="8"/>
  <c r="N5" i="8" s="1"/>
  <c r="M5" i="8" s="1"/>
  <c r="J4" i="8"/>
  <c r="C25" i="8"/>
  <c r="D36" i="9" l="1"/>
  <c r="E36" i="9"/>
  <c r="B36" i="9"/>
  <c r="C36" i="9"/>
  <c r="D37" i="9"/>
  <c r="E37" i="9"/>
  <c r="B37" i="9"/>
  <c r="C37" i="9"/>
  <c r="G19" i="2"/>
  <c r="G20" i="2" s="1"/>
  <c r="K4" i="8"/>
  <c r="K5" i="8"/>
  <c r="K3" i="8"/>
  <c r="M4" i="8"/>
  <c r="N3" i="8"/>
  <c r="I26" i="8"/>
  <c r="H27" i="8"/>
  <c r="H28" i="8"/>
  <c r="H29" i="8"/>
  <c r="E25" i="8"/>
  <c r="I25" i="8" s="1"/>
  <c r="E26" i="8"/>
  <c r="E27" i="8"/>
  <c r="I27" i="8" s="1"/>
  <c r="E28" i="8"/>
  <c r="E29" i="8"/>
  <c r="I29" i="8" s="1"/>
  <c r="H38" i="8"/>
  <c r="H39" i="8"/>
  <c r="H40" i="8"/>
  <c r="E36" i="8"/>
  <c r="I36" i="8" s="1"/>
  <c r="E37" i="8"/>
  <c r="E38" i="8"/>
  <c r="I38" i="8" s="1"/>
  <c r="E39" i="8"/>
  <c r="E40" i="8"/>
  <c r="I40" i="8" s="1"/>
  <c r="H35" i="8"/>
  <c r="E35" i="8"/>
  <c r="E34" i="8"/>
  <c r="I34" i="8" s="1"/>
  <c r="H24" i="8"/>
  <c r="E23" i="8"/>
  <c r="E24" i="8"/>
  <c r="I24" i="8" s="1"/>
  <c r="M3" i="8" l="1"/>
  <c r="H31" i="8"/>
  <c r="B20" i="8" s="1"/>
  <c r="F35" i="8"/>
  <c r="H42" i="8"/>
  <c r="F24" i="8"/>
  <c r="I35" i="8"/>
  <c r="J35" i="8" s="1"/>
  <c r="H41" i="8"/>
  <c r="H30" i="8"/>
  <c r="F40" i="8"/>
  <c r="F29" i="8"/>
  <c r="I39" i="8"/>
  <c r="J40" i="8" s="1"/>
  <c r="I28" i="8"/>
  <c r="J28" i="8" s="1"/>
  <c r="F39" i="8"/>
  <c r="F42" i="8" s="1"/>
  <c r="F28" i="8"/>
  <c r="F27" i="8"/>
  <c r="I37" i="8"/>
  <c r="F38" i="8"/>
  <c r="F41" i="8" s="1"/>
  <c r="J27" i="8"/>
  <c r="I23" i="8"/>
  <c r="J24" i="8" s="1"/>
  <c r="G28" i="2" l="1"/>
  <c r="E31" i="2"/>
  <c r="G51" i="2"/>
  <c r="G61" i="2"/>
  <c r="G56" i="2"/>
  <c r="G50" i="2"/>
  <c r="G12" i="2"/>
  <c r="E16" i="2"/>
  <c r="E22" i="2" s="1"/>
  <c r="B5" i="5" s="1"/>
  <c r="G14" i="2"/>
  <c r="F30" i="8"/>
  <c r="F31" i="8"/>
  <c r="J39" i="8"/>
  <c r="J42" i="8" s="1"/>
  <c r="J29" i="8"/>
  <c r="J31" i="8" s="1"/>
  <c r="J38" i="8"/>
  <c r="D35" i="9" l="1"/>
  <c r="D38" i="9" s="1"/>
  <c r="D47" i="9" s="1"/>
  <c r="D6" i="9" s="1"/>
  <c r="D19" i="9"/>
  <c r="D23" i="9" s="1"/>
  <c r="D29" i="9" s="1"/>
  <c r="D5" i="9" s="1"/>
  <c r="E35" i="9"/>
  <c r="E38" i="9" s="1"/>
  <c r="E47" i="9" s="1"/>
  <c r="E6" i="9" s="1"/>
  <c r="E19" i="9"/>
  <c r="E23" i="9" s="1"/>
  <c r="E29" i="9" s="1"/>
  <c r="E5" i="9" s="1"/>
  <c r="B35" i="9"/>
  <c r="B38" i="9" s="1"/>
  <c r="B47" i="9" s="1"/>
  <c r="B6" i="9" s="1"/>
  <c r="B19" i="9"/>
  <c r="B23" i="9" s="1"/>
  <c r="B29" i="9" s="1"/>
  <c r="B5" i="9" s="1"/>
  <c r="C35" i="9"/>
  <c r="C38" i="9" s="1"/>
  <c r="C47" i="9" s="1"/>
  <c r="C6" i="9" s="1"/>
  <c r="C19" i="9"/>
  <c r="C23" i="9" s="1"/>
  <c r="C29" i="9" s="1"/>
  <c r="C5" i="9" s="1"/>
  <c r="G31" i="2"/>
  <c r="G43" i="2" s="1"/>
  <c r="B5" i="2" s="1"/>
  <c r="I6" i="5" s="1"/>
  <c r="E43" i="2"/>
  <c r="B6" i="5" s="1"/>
  <c r="G60" i="2"/>
  <c r="G62" i="2" s="1"/>
  <c r="F62" i="2"/>
  <c r="G49" i="2"/>
  <c r="G52" i="2" s="1"/>
  <c r="F52" i="2"/>
  <c r="G55" i="2"/>
  <c r="G57" i="2" s="1"/>
  <c r="F57" i="2"/>
  <c r="G13" i="2"/>
  <c r="G16" i="2" s="1"/>
  <c r="G22" i="2" s="1"/>
  <c r="B4" i="2" s="1"/>
  <c r="I5" i="5" s="1"/>
  <c r="F16" i="2"/>
  <c r="F22" i="2" s="1"/>
  <c r="C5" i="5" s="1"/>
  <c r="J30" i="8"/>
  <c r="J41" i="8"/>
  <c r="D53" i="9" l="1"/>
  <c r="E53" i="9"/>
  <c r="B53" i="9"/>
  <c r="C53" i="9"/>
  <c r="D54" i="9"/>
  <c r="E54" i="9"/>
  <c r="B54" i="9"/>
  <c r="C54" i="9"/>
  <c r="D52" i="9"/>
  <c r="D56" i="9" s="1"/>
  <c r="D7" i="9" s="1"/>
  <c r="E52" i="9"/>
  <c r="E56" i="9" s="1"/>
  <c r="E7" i="9" s="1"/>
  <c r="B52" i="9"/>
  <c r="C52" i="9"/>
  <c r="C56" i="9" s="1"/>
  <c r="C7" i="9" s="1"/>
  <c r="F64" i="2"/>
  <c r="C7" i="5" s="1"/>
  <c r="G64" i="2"/>
  <c r="B6" i="2" s="1"/>
  <c r="I7" i="5" s="1"/>
  <c r="C38" i="5" s="1"/>
  <c r="C39" i="5" l="1"/>
  <c r="B38" i="5"/>
  <c r="B39" i="5"/>
  <c r="B56" i="9"/>
  <c r="B7" i="9" s="1"/>
</calcChain>
</file>

<file path=xl/sharedStrings.xml><?xml version="1.0" encoding="utf-8"?>
<sst xmlns="http://schemas.openxmlformats.org/spreadsheetml/2006/main" count="609" uniqueCount="211">
  <si>
    <t>Staff Time</t>
  </si>
  <si>
    <t>https://omb.alaska.gov/ombfiles/20_budget/EED/Amend/comp_2737_eed_02-12-2019.pdf</t>
  </si>
  <si>
    <t>Development Costs</t>
  </si>
  <si>
    <t>In-House Development</t>
  </si>
  <si>
    <t>Total Costs</t>
  </si>
  <si>
    <t>Complete Contractor Development</t>
  </si>
  <si>
    <t>In-House Development Costs</t>
  </si>
  <si>
    <t>Cost Category</t>
  </si>
  <si>
    <t>Subtotal</t>
  </si>
  <si>
    <t>Professional Contracts</t>
  </si>
  <si>
    <t>Architecture &amp; Engineering Firm</t>
  </si>
  <si>
    <t>Total</t>
  </si>
  <si>
    <t>Year 1</t>
  </si>
  <si>
    <t>Year 2</t>
  </si>
  <si>
    <t>Est. Costs</t>
  </si>
  <si>
    <t>Est. Hours</t>
  </si>
  <si>
    <t>Complete Contractor Development Costs</t>
  </si>
  <si>
    <t>Update Costs</t>
  </si>
  <si>
    <t>In-House Update</t>
  </si>
  <si>
    <t>In-House Update Costs</t>
  </si>
  <si>
    <t>Contractor Update</t>
  </si>
  <si>
    <t>Contractor Update Costs</t>
  </si>
  <si>
    <t>Year 3</t>
  </si>
  <si>
    <t>Year 4</t>
  </si>
  <si>
    <t>Year 5</t>
  </si>
  <si>
    <t>Source Number</t>
  </si>
  <si>
    <t xml:space="preserve">Source </t>
  </si>
  <si>
    <t>Notes</t>
  </si>
  <si>
    <t>Link</t>
  </si>
  <si>
    <t>Alaska Office of Management and Budget
DEED Budget FY 2020</t>
  </si>
  <si>
    <t>Tech Eng 1 / Architect 1</t>
  </si>
  <si>
    <t>Architectural Asst</t>
  </si>
  <si>
    <t>Status PCN</t>
  </si>
  <si>
    <t>Tracking ID</t>
  </si>
  <si>
    <t>Job Class Title</t>
  </si>
  <si>
    <t>Time Status</t>
  </si>
  <si>
    <t>Location</t>
  </si>
  <si>
    <t>Salary Schedule</t>
  </si>
  <si>
    <t>Range / Steps</t>
  </si>
  <si>
    <t>Annual Salaries</t>
  </si>
  <si>
    <t>05-1764</t>
  </si>
  <si>
    <t>FT</t>
  </si>
  <si>
    <t>Juneau</t>
  </si>
  <si>
    <t>24 L/M</t>
  </si>
  <si>
    <t>COLA</t>
  </si>
  <si>
    <t>Annual Benefits</t>
  </si>
  <si>
    <t>05-1627</t>
  </si>
  <si>
    <t>19 C/D</t>
  </si>
  <si>
    <t>Fiscal Year</t>
  </si>
  <si>
    <t>% Change</t>
  </si>
  <si>
    <t>FY14</t>
  </si>
  <si>
    <t>FY15</t>
  </si>
  <si>
    <t>FY16</t>
  </si>
  <si>
    <t>FY17</t>
  </si>
  <si>
    <t>FY18</t>
  </si>
  <si>
    <t>FY19</t>
  </si>
  <si>
    <t>FY20</t>
  </si>
  <si>
    <t>Alaska Office of Management and Budget
DEED Budget FY 2014- FY2020</t>
  </si>
  <si>
    <t>https://omb.alaska.gov/</t>
  </si>
  <si>
    <t>Based on FY14-19 Enacted Budget; FY20 Governor's Amended Budget</t>
  </si>
  <si>
    <t>-</t>
  </si>
  <si>
    <t>Avg 17-20</t>
  </si>
  <si>
    <t>Avg 18-20</t>
  </si>
  <si>
    <r>
      <t>Salary Increment</t>
    </r>
    <r>
      <rPr>
        <vertAlign val="superscript"/>
        <sz val="10"/>
        <color theme="1"/>
        <rFont val="Khmer UI"/>
        <family val="2"/>
      </rPr>
      <t>3</t>
    </r>
  </si>
  <si>
    <t>Alaska Department of Administration - Finance Salary Schedules</t>
  </si>
  <si>
    <t>http://doa.alaska.gov/dof/payroll/sal_sched.html</t>
  </si>
  <si>
    <t>Benefits Increment</t>
  </si>
  <si>
    <r>
      <t>Department of Education and Early Development - School Finance &amp; Facilities FY2020</t>
    </r>
    <r>
      <rPr>
        <vertAlign val="superscript"/>
        <sz val="12"/>
        <color theme="1"/>
        <rFont val="Khmer UI"/>
        <family val="2"/>
      </rPr>
      <t>1</t>
    </r>
  </si>
  <si>
    <t>Salary %</t>
  </si>
  <si>
    <t>Benefits %</t>
  </si>
  <si>
    <t>05-1774</t>
  </si>
  <si>
    <t>School Finance Manager</t>
  </si>
  <si>
    <t>23 O/P</t>
  </si>
  <si>
    <r>
      <t>DEED - Staff Time</t>
    </r>
    <r>
      <rPr>
        <vertAlign val="superscript"/>
        <sz val="10"/>
        <color theme="1"/>
        <rFont val="Khmer UI"/>
        <family val="2"/>
      </rPr>
      <t>1</t>
    </r>
  </si>
  <si>
    <t>School Finance Specialist II</t>
  </si>
  <si>
    <t>05-1058</t>
  </si>
  <si>
    <t>18 K</t>
  </si>
  <si>
    <t>Travel Expenses</t>
  </si>
  <si>
    <r>
      <t>Airfare</t>
    </r>
    <r>
      <rPr>
        <vertAlign val="superscript"/>
        <sz val="10"/>
        <color theme="1"/>
        <rFont val="Khmer UI"/>
        <family val="2"/>
      </rPr>
      <t>4</t>
    </r>
  </si>
  <si>
    <t>Alaska Airlines</t>
  </si>
  <si>
    <t>Based on average weekday airfare booked at least two weeks in advance at non-peak rates</t>
  </si>
  <si>
    <r>
      <t>Accommodation</t>
    </r>
    <r>
      <rPr>
        <vertAlign val="superscript"/>
        <sz val="10"/>
        <color theme="1"/>
        <rFont val="Khmer UI"/>
        <family val="2"/>
      </rPr>
      <t>5</t>
    </r>
  </si>
  <si>
    <t>Based on average non-summer accommodation rates</t>
  </si>
  <si>
    <r>
      <t>Meals</t>
    </r>
    <r>
      <rPr>
        <vertAlign val="superscript"/>
        <sz val="10"/>
        <color theme="1"/>
        <rFont val="Khmer UI"/>
        <family val="2"/>
      </rPr>
      <t>6</t>
    </r>
  </si>
  <si>
    <t>http://doa.alaska.gov/dof/travel/resource/rates.pdf</t>
  </si>
  <si>
    <t xml:space="preserve">State of Alaska - Department of Administration
State of Alaska Per Diem Rates </t>
  </si>
  <si>
    <t>Rates effective 10/01/2018</t>
  </si>
  <si>
    <t>Implementation Costs</t>
  </si>
  <si>
    <t>BR&amp;GR Committee Review</t>
  </si>
  <si>
    <t>Legislative Hearings and Process</t>
  </si>
  <si>
    <t>Information Session</t>
  </si>
  <si>
    <t>Committee Costs</t>
  </si>
  <si>
    <r>
      <t>Staff Cost Historic Annual Adjustment</t>
    </r>
    <r>
      <rPr>
        <vertAlign val="superscript"/>
        <sz val="12"/>
        <color theme="1"/>
        <rFont val="Khmer UI"/>
        <family val="2"/>
      </rPr>
      <t>2</t>
    </r>
  </si>
  <si>
    <t>Salaries</t>
  </si>
  <si>
    <t>FY21</t>
  </si>
  <si>
    <t>FY22</t>
  </si>
  <si>
    <t>FY23</t>
  </si>
  <si>
    <t>FY24</t>
  </si>
  <si>
    <t>FY25</t>
  </si>
  <si>
    <t>FY26</t>
  </si>
  <si>
    <t>Benefits</t>
  </si>
  <si>
    <t>Expected Staff Costs - FY2020-FY2026</t>
  </si>
  <si>
    <t>Five-Year Total Costs</t>
  </si>
  <si>
    <t>Development Cost Scenarios</t>
  </si>
  <si>
    <t>Scenario 1</t>
  </si>
  <si>
    <t>Scenario 2</t>
  </si>
  <si>
    <t>Scenario 3</t>
  </si>
  <si>
    <t>Scenario 4</t>
  </si>
  <si>
    <t>Development Hours</t>
  </si>
  <si>
    <t>Contractor Rates</t>
  </si>
  <si>
    <r>
      <t>Travel Expenses</t>
    </r>
    <r>
      <rPr>
        <vertAlign val="superscript"/>
        <sz val="10"/>
        <color theme="1"/>
        <rFont val="Khmer UI"/>
        <family val="2"/>
      </rPr>
      <t>4-6</t>
    </r>
  </si>
  <si>
    <t>Total Cost Estimates by Scenario</t>
  </si>
  <si>
    <t>Year 6</t>
  </si>
  <si>
    <t>Year 7</t>
  </si>
  <si>
    <t>Summary</t>
  </si>
  <si>
    <t>Average</t>
  </si>
  <si>
    <t>Update Cost Scenarios</t>
  </si>
  <si>
    <t>Complete Contractor Update</t>
  </si>
  <si>
    <t>Average Annual Cost Estimates by Scenario</t>
  </si>
  <si>
    <t>Professional Services Inflation Rate</t>
  </si>
  <si>
    <t>Update Hours</t>
  </si>
  <si>
    <t>Complete Contractor Update Costs</t>
  </si>
  <si>
    <t>Committee Review Costs</t>
  </si>
  <si>
    <t>Construction Benefits</t>
  </si>
  <si>
    <t>Building System</t>
  </si>
  <si>
    <t>Site Work</t>
  </si>
  <si>
    <t>Substructure</t>
  </si>
  <si>
    <t>Exterior Closure</t>
  </si>
  <si>
    <t>Interiors</t>
  </si>
  <si>
    <t>Mechanical systems</t>
  </si>
  <si>
    <t>Electrical systems</t>
  </si>
  <si>
    <t>Superstructure</t>
  </si>
  <si>
    <t>Plumbing</t>
  </si>
  <si>
    <t>HVAC</t>
  </si>
  <si>
    <t>Maintenance Benefits</t>
  </si>
  <si>
    <t>Average Annual Cost</t>
  </si>
  <si>
    <t>Construction Cost Benefits</t>
  </si>
  <si>
    <t>Maintenance Cost Benefits</t>
  </si>
  <si>
    <t>Operating Benefits</t>
  </si>
  <si>
    <t>Operating Cost Benefits</t>
  </si>
  <si>
    <t>Expected Benefit</t>
  </si>
  <si>
    <t>Total Cost</t>
  </si>
  <si>
    <t>Average Annual Benefit</t>
  </si>
  <si>
    <t>Facility Calculated Benefits</t>
  </si>
  <si>
    <t>Facility Description</t>
  </si>
  <si>
    <t>Name:</t>
  </si>
  <si>
    <t>City:</t>
  </si>
  <si>
    <t>Square Footage:</t>
  </si>
  <si>
    <t>Construction Year:</t>
  </si>
  <si>
    <t>Facility Actual Costs Compared to Theoretical Costs with Standards</t>
  </si>
  <si>
    <t>Average Historic Facility Cost</t>
  </si>
  <si>
    <t>Average Cost with Standards</t>
  </si>
  <si>
    <t>Avg Benefit per SQFT</t>
  </si>
  <si>
    <t>Percent Savings</t>
  </si>
  <si>
    <t>Construction Cost with Standards</t>
  </si>
  <si>
    <t>Average Annual Historic Facility Cost</t>
  </si>
  <si>
    <t>Average Annual Cost with Standards</t>
  </si>
  <si>
    <t>Kwethluk K-12 School</t>
  </si>
  <si>
    <t>Kwethluk</t>
  </si>
  <si>
    <t>District:</t>
  </si>
  <si>
    <t>Lower Kuskokwim</t>
  </si>
  <si>
    <t>Climate Zone:</t>
  </si>
  <si>
    <t>Support/Admin</t>
  </si>
  <si>
    <t>Architect/Engineer</t>
  </si>
  <si>
    <t>Firm Principal</t>
  </si>
  <si>
    <t>Director, Finance &amp; Support Services</t>
  </si>
  <si>
    <t xml:space="preserve">* Changing variables in cells B11:E13 and H11 through K13 will alter estimated development and update costs. Changes to these variables are reflected in this worksheet only and will not alter other worksheets in this workbook. </t>
  </si>
  <si>
    <r>
      <t xml:space="preserve">Scenario Parameters* - </t>
    </r>
    <r>
      <rPr>
        <sz val="8"/>
        <color theme="1"/>
        <rFont val="Khmer UI"/>
        <family val="2"/>
      </rPr>
      <t>Changes to variables in the following cells wil alter cost estimates</t>
    </r>
  </si>
  <si>
    <t>Historic Construction Cost</t>
  </si>
  <si>
    <t>Site Prep</t>
  </si>
  <si>
    <t>Site Improvements</t>
  </si>
  <si>
    <t>Site Structures</t>
  </si>
  <si>
    <t>Site Utilities</t>
  </si>
  <si>
    <t>Exterior Walls</t>
  </si>
  <si>
    <t>Exterior Glazing</t>
  </si>
  <si>
    <t>Exterior Doors</t>
  </si>
  <si>
    <t>Roof Systems</t>
  </si>
  <si>
    <t>Partitions</t>
  </si>
  <si>
    <t>Doors</t>
  </si>
  <si>
    <t>Finishes</t>
  </si>
  <si>
    <t>Fixed Furnishings</t>
  </si>
  <si>
    <t>Conveyors</t>
  </si>
  <si>
    <t>Fire Protection</t>
  </si>
  <si>
    <t>Special Mechanical</t>
  </si>
  <si>
    <t>Service/Distribution</t>
  </si>
  <si>
    <t>Lighting</t>
  </si>
  <si>
    <t>Special Systems</t>
  </si>
  <si>
    <t>Average Annual Historic Maint. Cost</t>
  </si>
  <si>
    <t>Power</t>
  </si>
  <si>
    <t>Utilities</t>
  </si>
  <si>
    <t>Heating Fuel</t>
  </si>
  <si>
    <t>Electricity</t>
  </si>
  <si>
    <t>Water and Sewer</t>
  </si>
  <si>
    <t>Solid Waste/Refuse</t>
  </si>
  <si>
    <t>Other</t>
  </si>
  <si>
    <t>Custodial</t>
  </si>
  <si>
    <t>Grounds</t>
  </si>
  <si>
    <t>Insurance</t>
  </si>
  <si>
    <t>Lease</t>
  </si>
  <si>
    <t>Utility System</t>
  </si>
  <si>
    <t>Total Benefit Calculation</t>
  </si>
  <si>
    <t>Construction Costs</t>
  </si>
  <si>
    <t>Average Annual Construction Costs</t>
  </si>
  <si>
    <t>Maintenance/Operating Costs</t>
  </si>
  <si>
    <t>Average Annual Maintenance/Operating Costs</t>
  </si>
  <si>
    <t>Percent Cost Savings</t>
  </si>
  <si>
    <t>Expected Annual Benefit</t>
  </si>
  <si>
    <t>Cost/Benefit Ratio</t>
  </si>
  <si>
    <t>In-House Development &amp; Update Ratio</t>
  </si>
  <si>
    <t>Complete Contractor Development &amp; Update Ratio</t>
  </si>
  <si>
    <t>State Board Meetings and Regulation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</si>
</sst>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0.0%"/>
    <numFmt numFmtId="166" formatCode="&quot;$&quot;#,##0.00"/>
  </numFmts>
  <fonts count="11" x14ac:knownFonts="1">
    <font>
      <sz val="10"/>
      <color theme="1"/>
      <name val="Khmer UI"/>
      <family val="2"/>
    </font>
    <font>
      <u/>
      <sz val="10"/>
      <color theme="10"/>
      <name val="Khmer UI"/>
      <family val="2"/>
    </font>
    <font>
      <sz val="12"/>
      <color theme="1"/>
      <name val="Khmer UI"/>
      <family val="2"/>
    </font>
    <font>
      <sz val="14"/>
      <color theme="1"/>
      <name val="Khmer UI"/>
      <family val="2"/>
    </font>
    <font>
      <vertAlign val="superscript"/>
      <sz val="10"/>
      <color theme="1"/>
      <name val="Khmer UI"/>
      <family val="2"/>
    </font>
    <font>
      <sz val="8"/>
      <name val="Khmer UI"/>
      <family val="2"/>
    </font>
    <font>
      <vertAlign val="superscript"/>
      <sz val="12"/>
      <color theme="1"/>
      <name val="Khmer UI"/>
      <family val="2"/>
    </font>
    <font>
      <sz val="10"/>
      <name val="Khmer UI"/>
      <family val="2"/>
    </font>
    <font>
      <sz val="11"/>
      <color theme="1"/>
      <name val="Khmer UI"/>
      <family val="2"/>
    </font>
    <font>
      <b/>
      <sz val="10"/>
      <color theme="1"/>
      <name val="Khmer UI"/>
      <family val="2"/>
    </font>
    <font>
      <sz val="8"/>
      <color theme="1"/>
      <name val="Khmer UI"/>
      <family val="2"/>
    </font>
  </fonts>
  <fills count="10">
    <fill>
      <patternFill patternType="none"/>
    </fill>
    <fill>
      <patternFill patternType="gray125"/>
    </fill>
    <fill>
      <patternFill patternType="solid">
        <fgColor theme="6" tint="0.7999816888943144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style="double">
        <color auto="1"/>
      </top>
      <bottom/>
      <diagonal/>
    </border>
    <border>
      <left style="thin">
        <color indexed="64"/>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75">
    <xf numFmtId="0" fontId="0" fillId="0" borderId="0" xfId="0"/>
    <xf numFmtId="0" fontId="0" fillId="0" borderId="0" xfId="0" applyAlignment="1">
      <alignment horizontal="centerContinuous"/>
    </xf>
    <xf numFmtId="0" fontId="0" fillId="0" borderId="0" xfId="0" applyAlignment="1">
      <alignment horizontal="left" indent="1"/>
    </xf>
    <xf numFmtId="0" fontId="0" fillId="0" borderId="0" xfId="0" applyAlignment="1">
      <alignment horizontal="center"/>
    </xf>
    <xf numFmtId="0" fontId="0" fillId="2" borderId="0" xfId="0" applyFill="1"/>
    <xf numFmtId="0" fontId="0" fillId="0" borderId="2" xfId="0" applyBorder="1"/>
    <xf numFmtId="0" fontId="0" fillId="0" borderId="3" xfId="0" applyBorder="1"/>
    <xf numFmtId="0" fontId="0" fillId="3" borderId="0" xfId="0" applyFill="1"/>
    <xf numFmtId="0" fontId="3" fillId="0" borderId="0" xfId="0" applyFont="1"/>
    <xf numFmtId="0" fontId="2" fillId="2" borderId="0" xfId="0" applyFont="1" applyFill="1"/>
    <xf numFmtId="0" fontId="2" fillId="3" borderId="0" xfId="0" applyFont="1" applyFill="1"/>
    <xf numFmtId="0" fontId="3" fillId="4" borderId="0" xfId="0" applyFont="1" applyFill="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164" fontId="0" fillId="0" borderId="0" xfId="0" applyNumberFormat="1" applyAlignment="1">
      <alignment horizontal="center"/>
    </xf>
    <xf numFmtId="0" fontId="1" fillId="0" borderId="0" xfId="1" applyAlignment="1">
      <alignment vertical="center"/>
    </xf>
    <xf numFmtId="165" fontId="0" fillId="0" borderId="0" xfId="0" applyNumberFormat="1" applyAlignment="1">
      <alignment horizontal="center"/>
    </xf>
    <xf numFmtId="0" fontId="0" fillId="0" borderId="0" xfId="0" applyNumberFormat="1" applyAlignment="1"/>
    <xf numFmtId="10" fontId="0" fillId="0" borderId="0" xfId="0" applyNumberFormat="1" applyAlignment="1">
      <alignment horizontal="center"/>
    </xf>
    <xf numFmtId="0" fontId="2" fillId="5" borderId="0" xfId="0" applyFont="1" applyFill="1" applyAlignment="1"/>
    <xf numFmtId="0" fontId="0" fillId="5" borderId="0" xfId="0" applyFill="1" applyAlignment="1">
      <alignment horizontal="centerContinuous"/>
    </xf>
    <xf numFmtId="164" fontId="0" fillId="5" borderId="0" xfId="0" applyNumberFormat="1" applyFill="1" applyAlignment="1">
      <alignment horizontal="centerContinuous"/>
    </xf>
    <xf numFmtId="9" fontId="0" fillId="0" borderId="0" xfId="0" applyNumberFormat="1" applyAlignment="1">
      <alignment horizontal="center"/>
    </xf>
    <xf numFmtId="0" fontId="0" fillId="0" borderId="0" xfId="0" applyAlignment="1">
      <alignment horizontal="left"/>
    </xf>
    <xf numFmtId="166" fontId="0" fillId="0" borderId="0" xfId="0" applyNumberFormat="1"/>
    <xf numFmtId="0" fontId="0" fillId="0" borderId="0" xfId="0" applyAlignment="1">
      <alignment horizontal="left" indent="2"/>
    </xf>
    <xf numFmtId="164" fontId="0" fillId="0" borderId="0" xfId="0" applyNumberFormat="1"/>
    <xf numFmtId="164" fontId="0" fillId="0" borderId="0" xfId="0" applyNumberFormat="1" applyFill="1" applyAlignment="1">
      <alignment horizontal="center"/>
    </xf>
    <xf numFmtId="0" fontId="7" fillId="0" borderId="0" xfId="0" applyFont="1" applyFill="1" applyAlignment="1">
      <alignment horizontal="center"/>
    </xf>
    <xf numFmtId="0" fontId="0" fillId="0" borderId="0" xfId="0" applyFill="1" applyAlignment="1">
      <alignment horizontal="center"/>
    </xf>
    <xf numFmtId="0" fontId="2" fillId="6" borderId="0" xfId="0" applyFont="1" applyFill="1"/>
    <xf numFmtId="0" fontId="0" fillId="6" borderId="0" xfId="0" applyFill="1"/>
    <xf numFmtId="164" fontId="0" fillId="0" borderId="3" xfId="0" applyNumberFormat="1" applyBorder="1" applyAlignment="1">
      <alignment horizontal="center"/>
    </xf>
    <xf numFmtId="164" fontId="0" fillId="0" borderId="2" xfId="0" applyNumberFormat="1" applyBorder="1" applyAlignment="1">
      <alignment horizontal="center"/>
    </xf>
    <xf numFmtId="0" fontId="0" fillId="0" borderId="0" xfId="0" applyBorder="1"/>
    <xf numFmtId="164" fontId="0" fillId="0" borderId="0" xfId="0" applyNumberFormat="1" applyBorder="1" applyAlignment="1">
      <alignment horizontal="center"/>
    </xf>
    <xf numFmtId="0" fontId="0" fillId="0" borderId="0" xfId="0" applyBorder="1" applyAlignment="1">
      <alignment horizontal="center"/>
    </xf>
    <xf numFmtId="164" fontId="0" fillId="0" borderId="1" xfId="0" applyNumberFormat="1" applyBorder="1" applyAlignment="1">
      <alignment horizontal="center"/>
    </xf>
    <xf numFmtId="0" fontId="0" fillId="2" borderId="0" xfId="0" applyFill="1" applyAlignment="1">
      <alignment horizontal="centerContinuous"/>
    </xf>
    <xf numFmtId="0" fontId="0" fillId="2" borderId="0" xfId="0" applyFill="1" applyAlignment="1">
      <alignment horizontal="center"/>
    </xf>
    <xf numFmtId="0" fontId="0" fillId="7" borderId="0" xfId="0" applyFill="1" applyAlignment="1">
      <alignment horizontal="centerContinuous"/>
    </xf>
    <xf numFmtId="0" fontId="0" fillId="7" borderId="0" xfId="0" applyFill="1" applyAlignment="1">
      <alignment horizontal="center"/>
    </xf>
    <xf numFmtId="0" fontId="0" fillId="8" borderId="0" xfId="0" applyFill="1" applyAlignment="1">
      <alignment horizontal="center"/>
    </xf>
    <xf numFmtId="0" fontId="0" fillId="8" borderId="0" xfId="0" applyFill="1" applyAlignment="1">
      <alignment horizontal="centerContinuous"/>
    </xf>
    <xf numFmtId="0" fontId="0" fillId="2" borderId="0" xfId="0" applyNumberFormat="1" applyFill="1" applyAlignment="1"/>
    <xf numFmtId="0" fontId="0" fillId="7" borderId="0" xfId="0" applyNumberFormat="1" applyFill="1" applyAlignment="1"/>
    <xf numFmtId="0" fontId="0" fillId="0" borderId="0" xfId="0" applyFill="1"/>
    <xf numFmtId="0" fontId="0" fillId="0" borderId="1" xfId="0" applyBorder="1" applyAlignment="1">
      <alignment horizontal="center"/>
    </xf>
    <xf numFmtId="0" fontId="8" fillId="5" borderId="0" xfId="0" applyFont="1" applyFill="1"/>
    <xf numFmtId="0" fontId="3" fillId="5" borderId="0" xfId="0" applyFont="1" applyFill="1"/>
    <xf numFmtId="0" fontId="2" fillId="4" borderId="0" xfId="0" applyFont="1" applyFill="1"/>
    <xf numFmtId="0" fontId="3" fillId="9" borderId="0" xfId="0" applyFont="1" applyFill="1"/>
    <xf numFmtId="164" fontId="0" fillId="0" borderId="0" xfId="0" applyNumberFormat="1" applyFill="1" applyBorder="1" applyAlignment="1">
      <alignment horizontal="center"/>
    </xf>
    <xf numFmtId="9" fontId="0" fillId="0" borderId="1" xfId="0" applyNumberFormat="1" applyBorder="1" applyAlignment="1">
      <alignment horizontal="center"/>
    </xf>
    <xf numFmtId="0" fontId="0" fillId="0" borderId="1" xfId="0" applyFill="1" applyBorder="1" applyAlignment="1">
      <alignment horizontal="center"/>
    </xf>
    <xf numFmtId="164" fontId="0" fillId="0" borderId="1" xfId="0" applyNumberFormat="1" applyFill="1" applyBorder="1" applyAlignment="1">
      <alignment horizontal="center"/>
    </xf>
    <xf numFmtId="9" fontId="0" fillId="0" borderId="1" xfId="0" applyNumberFormat="1" applyFill="1" applyBorder="1" applyAlignment="1">
      <alignment horizontal="center"/>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right"/>
    </xf>
    <xf numFmtId="3" fontId="0" fillId="0" borderId="0" xfId="0" applyNumberFormat="1" applyAlignment="1">
      <alignment horizontal="left"/>
    </xf>
    <xf numFmtId="0" fontId="0" fillId="0" borderId="0" xfId="0" applyFill="1" applyAlignment="1">
      <alignment horizontal="left" indent="1"/>
    </xf>
    <xf numFmtId="0" fontId="10" fillId="0" borderId="0" xfId="0" applyFont="1" applyAlignment="1">
      <alignment horizontal="centerContinuous" wrapText="1"/>
    </xf>
    <xf numFmtId="164" fontId="9" fillId="0" borderId="0" xfId="0" applyNumberFormat="1" applyFont="1" applyAlignment="1">
      <alignment horizontal="center"/>
    </xf>
    <xf numFmtId="164" fontId="0" fillId="0" borderId="0" xfId="0" applyNumberFormat="1" applyFont="1" applyAlignment="1">
      <alignment horizontal="center"/>
    </xf>
    <xf numFmtId="0" fontId="0" fillId="0" borderId="2" xfId="0" applyFill="1" applyBorder="1"/>
    <xf numFmtId="164" fontId="0" fillId="0" borderId="2" xfId="0" applyNumberFormat="1" applyFill="1" applyBorder="1" applyAlignment="1">
      <alignment horizontal="center"/>
    </xf>
    <xf numFmtId="0" fontId="0" fillId="5" borderId="0" xfId="0" applyFill="1"/>
    <xf numFmtId="0" fontId="2" fillId="5" borderId="0" xfId="0" applyFont="1" applyFill="1"/>
    <xf numFmtId="0" fontId="2" fillId="9" borderId="0" xfId="0" applyFont="1" applyFill="1"/>
    <xf numFmtId="0" fontId="0" fillId="0" borderId="0" xfId="0" applyAlignment="1"/>
    <xf numFmtId="9" fontId="0" fillId="0" borderId="4" xfId="0" applyNumberFormat="1" applyBorder="1" applyAlignment="1">
      <alignment horizontal="center"/>
    </xf>
    <xf numFmtId="2" fontId="0" fillId="0" borderId="0" xfId="0" applyNumberFormat="1"/>
    <xf numFmtId="0" fontId="0" fillId="0" borderId="2" xfId="0" applyNumberForma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a16="http://schemas.microsoft.com/office/drawing/2014/main" id="{C3B2AACC-9B95-48AC-B058-37254A6B8B8B}"/>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McDowell Group">
      <a:dk1>
        <a:srgbClr val="000000"/>
      </a:dk1>
      <a:lt1>
        <a:srgbClr val="FFFFFF"/>
      </a:lt1>
      <a:dk2>
        <a:srgbClr val="004E59"/>
      </a:dk2>
      <a:lt2>
        <a:srgbClr val="CDB54B"/>
      </a:lt2>
      <a:accent1>
        <a:srgbClr val="004E59"/>
      </a:accent1>
      <a:accent2>
        <a:srgbClr val="763625"/>
      </a:accent2>
      <a:accent3>
        <a:srgbClr val="66959B"/>
      </a:accent3>
      <a:accent4>
        <a:srgbClr val="9F7266"/>
      </a:accent4>
      <a:accent5>
        <a:srgbClr val="CDB54B"/>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doa.alaska.gov/dof/travel/resource/rates.pdf" TargetMode="External"/><Relationship Id="rId2" Type="http://schemas.openxmlformats.org/officeDocument/2006/relationships/hyperlink" Target="http://doa.alaska.gov/dof/payroll/sal_sched.html" TargetMode="External"/><Relationship Id="rId1" Type="http://schemas.openxmlformats.org/officeDocument/2006/relationships/hyperlink" Target="https://omb.alaska.gov/" TargetMode="External"/><Relationship Id="rId5" Type="http://schemas.openxmlformats.org/officeDocument/2006/relationships/vmlDrawing" Target="../drawings/vmlDrawing7.v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D793E-DE16-4DF5-A292-6B5951474856}">
  <sheetPr>
    <pageSetUpPr fitToPage="1"/>
  </sheetPr>
  <dimension ref="A1:O39"/>
  <sheetViews>
    <sheetView tabSelected="1" view="pageLayout" zoomScaleNormal="100" zoomScaleSheetLayoutView="100" workbookViewId="0">
      <selection activeCell="B5" sqref="B5"/>
    </sheetView>
  </sheetViews>
  <sheetFormatPr defaultRowHeight="12.75" x14ac:dyDescent="0.2"/>
  <cols>
    <col min="1" max="1" width="43.85546875" customWidth="1"/>
    <col min="2" max="8" width="17.42578125" customWidth="1"/>
    <col min="9" max="9" width="18.140625" customWidth="1"/>
  </cols>
  <sheetData>
    <row r="1" spans="1:9" ht="18" x14ac:dyDescent="0.25">
      <c r="A1" s="50" t="s">
        <v>114</v>
      </c>
      <c r="B1" s="50"/>
      <c r="C1" s="50"/>
      <c r="D1" s="50"/>
      <c r="E1" s="50"/>
      <c r="F1" s="50"/>
      <c r="G1" s="50"/>
      <c r="H1" s="50"/>
      <c r="I1" s="50"/>
    </row>
    <row r="3" spans="1:9" ht="15" x14ac:dyDescent="0.2">
      <c r="A3" s="51" t="s">
        <v>2</v>
      </c>
      <c r="B3" s="51"/>
      <c r="C3" s="51"/>
      <c r="D3" s="51"/>
      <c r="E3" s="51"/>
      <c r="F3" s="51"/>
      <c r="G3" s="51"/>
      <c r="H3" s="51"/>
      <c r="I3" s="51"/>
    </row>
    <row r="4" spans="1:9" x14ac:dyDescent="0.2">
      <c r="B4" s="3" t="s">
        <v>12</v>
      </c>
      <c r="C4" s="3" t="s">
        <v>13</v>
      </c>
      <c r="D4" s="3" t="s">
        <v>22</v>
      </c>
      <c r="E4" s="3" t="s">
        <v>23</v>
      </c>
      <c r="F4" s="3" t="s">
        <v>24</v>
      </c>
      <c r="G4" s="3" t="s">
        <v>112</v>
      </c>
      <c r="H4" s="3" t="s">
        <v>113</v>
      </c>
      <c r="I4" s="3" t="s">
        <v>141</v>
      </c>
    </row>
    <row r="5" spans="1:9" x14ac:dyDescent="0.2">
      <c r="A5" s="4" t="s">
        <v>3</v>
      </c>
      <c r="B5" s="15">
        <f>'Development Costs'!E22</f>
        <v>24003.76778846154</v>
      </c>
      <c r="C5" s="15">
        <f>'Development Costs'!F22</f>
        <v>27213.613272911247</v>
      </c>
      <c r="D5" s="15" t="s">
        <v>60</v>
      </c>
      <c r="E5" s="15" t="s">
        <v>60</v>
      </c>
      <c r="F5" s="15" t="s">
        <v>60</v>
      </c>
      <c r="G5" s="15" t="s">
        <v>60</v>
      </c>
      <c r="H5" s="15" t="s">
        <v>60</v>
      </c>
      <c r="I5" s="15">
        <f>'Development Costs'!B4</f>
        <v>51217.381061372791</v>
      </c>
    </row>
    <row r="6" spans="1:9" x14ac:dyDescent="0.2">
      <c r="A6" s="7" t="s">
        <v>5</v>
      </c>
      <c r="B6" s="15">
        <f>'Development Costs'!E43</f>
        <v>112375.81346153846</v>
      </c>
      <c r="C6" s="15" t="s">
        <v>60</v>
      </c>
      <c r="D6" s="15" t="s">
        <v>60</v>
      </c>
      <c r="E6" s="15" t="s">
        <v>60</v>
      </c>
      <c r="F6" s="15" t="s">
        <v>60</v>
      </c>
      <c r="G6" s="15" t="s">
        <v>60</v>
      </c>
      <c r="H6" s="15" t="s">
        <v>60</v>
      </c>
      <c r="I6" s="15">
        <f>'Development Costs'!B5</f>
        <v>112375.81346153846</v>
      </c>
    </row>
    <row r="7" spans="1:9" x14ac:dyDescent="0.2">
      <c r="A7" s="32" t="s">
        <v>87</v>
      </c>
      <c r="B7" s="15" t="s">
        <v>60</v>
      </c>
      <c r="C7" s="15">
        <f>'Development Costs'!F64</f>
        <v>6960.2556562254895</v>
      </c>
      <c r="D7" s="15" t="s">
        <v>60</v>
      </c>
      <c r="E7" s="15" t="s">
        <v>60</v>
      </c>
      <c r="F7" s="15" t="s">
        <v>60</v>
      </c>
      <c r="G7" s="15" t="s">
        <v>60</v>
      </c>
      <c r="H7" s="15" t="s">
        <v>60</v>
      </c>
      <c r="I7" s="15">
        <f>'Development Costs'!B6</f>
        <v>6960.2556562254895</v>
      </c>
    </row>
    <row r="10" spans="1:9" ht="18" x14ac:dyDescent="0.25">
      <c r="A10" s="51" t="s">
        <v>17</v>
      </c>
      <c r="B10" s="11"/>
      <c r="C10" s="11"/>
      <c r="D10" s="11"/>
      <c r="E10" s="11"/>
      <c r="F10" s="11"/>
      <c r="G10" s="11"/>
      <c r="H10" s="11"/>
      <c r="I10" s="11"/>
    </row>
    <row r="11" spans="1:9" x14ac:dyDescent="0.2">
      <c r="B11" s="3" t="s">
        <v>12</v>
      </c>
      <c r="C11" s="3" t="s">
        <v>13</v>
      </c>
      <c r="D11" s="3" t="s">
        <v>22</v>
      </c>
      <c r="E11" s="3" t="s">
        <v>23</v>
      </c>
      <c r="F11" s="3" t="s">
        <v>24</v>
      </c>
      <c r="G11" s="3" t="s">
        <v>112</v>
      </c>
      <c r="H11" s="3" t="s">
        <v>113</v>
      </c>
      <c r="I11" s="3" t="s">
        <v>135</v>
      </c>
    </row>
    <row r="12" spans="1:9" x14ac:dyDescent="0.2">
      <c r="A12" s="4" t="s">
        <v>18</v>
      </c>
      <c r="B12" s="15" t="s">
        <v>60</v>
      </c>
      <c r="C12" s="15" t="s">
        <v>60</v>
      </c>
      <c r="D12" s="15">
        <f>'Update Costs'!H22</f>
        <v>3483.266769749247</v>
      </c>
      <c r="E12" s="15">
        <f>'Update Costs'!I22</f>
        <v>3597.2238664253205</v>
      </c>
      <c r="F12" s="15">
        <f>'Update Costs'!J22</f>
        <v>6654.9094454851293</v>
      </c>
      <c r="G12" s="15">
        <f>'Update Costs'!K22</f>
        <v>3836.4455067242834</v>
      </c>
      <c r="H12" s="15">
        <f>'Update Costs'!L22</f>
        <v>3961.9580422331833</v>
      </c>
      <c r="I12" s="15">
        <f>'Update Costs'!B5</f>
        <v>4306.7607261234316</v>
      </c>
    </row>
    <row r="13" spans="1:9" x14ac:dyDescent="0.2">
      <c r="A13" s="7" t="s">
        <v>20</v>
      </c>
      <c r="B13" s="15" t="s">
        <v>60</v>
      </c>
      <c r="C13" s="15" t="s">
        <v>60</v>
      </c>
      <c r="D13" s="15">
        <f>'Update Costs'!H38</f>
        <v>9627.2855704363828</v>
      </c>
      <c r="E13" s="15">
        <f>'Update Costs'!I38</f>
        <v>9675.6057066393296</v>
      </c>
      <c r="F13" s="15">
        <f>'Update Costs'!J38</f>
        <v>9725.5064624765582</v>
      </c>
      <c r="G13" s="15">
        <f>'Update Costs'!K38</f>
        <v>10144.539546496173</v>
      </c>
      <c r="H13" s="15">
        <f>'Update Costs'!L38</f>
        <v>10197.758358984956</v>
      </c>
      <c r="I13" s="15">
        <f>'Update Costs'!B6</f>
        <v>9874.1391290066786</v>
      </c>
    </row>
    <row r="14" spans="1:9" x14ac:dyDescent="0.2">
      <c r="A14" s="32" t="s">
        <v>91</v>
      </c>
      <c r="B14" s="15" t="s">
        <v>60</v>
      </c>
      <c r="C14" s="15" t="s">
        <v>60</v>
      </c>
      <c r="D14" s="15">
        <f>'Update Costs'!H50</f>
        <v>1461.7491158539026</v>
      </c>
      <c r="E14" s="15">
        <f>'Update Costs'!I50</f>
        <v>1509.561818903763</v>
      </c>
      <c r="F14" s="15">
        <f>'Update Costs'!J50</f>
        <v>1558.9385672439796</v>
      </c>
      <c r="G14" s="15">
        <f>'Update Costs'!K50</f>
        <v>1609.9305280145882</v>
      </c>
      <c r="H14" s="15">
        <f>'Update Costs'!L50</f>
        <v>1662.5905424077073</v>
      </c>
      <c r="I14" s="15">
        <f>'Update Costs'!B7</f>
        <v>1560.554114484788</v>
      </c>
    </row>
    <row r="17" spans="1:15" ht="18" x14ac:dyDescent="0.25">
      <c r="A17" s="70" t="s">
        <v>143</v>
      </c>
      <c r="B17" s="52"/>
      <c r="C17" s="3"/>
      <c r="D17" s="3"/>
      <c r="E17" s="3"/>
      <c r="F17" s="3"/>
      <c r="G17" s="3"/>
      <c r="H17" s="3"/>
    </row>
    <row r="18" spans="1:15" ht="25.5" x14ac:dyDescent="0.2">
      <c r="B18" s="59" t="s">
        <v>142</v>
      </c>
      <c r="C18" s="3"/>
      <c r="D18" s="3"/>
      <c r="E18" s="3"/>
      <c r="F18" s="3"/>
      <c r="G18" s="3"/>
      <c r="H18" s="3"/>
    </row>
    <row r="19" spans="1:15" x14ac:dyDescent="0.2">
      <c r="A19" s="4" t="s">
        <v>136</v>
      </c>
      <c r="B19" s="15">
        <f>Benefits!D13</f>
        <v>0</v>
      </c>
      <c r="C19" s="15"/>
      <c r="D19" s="15"/>
      <c r="E19" s="15"/>
      <c r="F19" s="15"/>
      <c r="G19" s="15"/>
      <c r="H19" s="15"/>
    </row>
    <row r="20" spans="1:15" x14ac:dyDescent="0.2">
      <c r="A20" s="7" t="s">
        <v>137</v>
      </c>
      <c r="B20" s="15">
        <f>Benefits!D14</f>
        <v>0</v>
      </c>
      <c r="C20" s="15"/>
      <c r="D20" s="15"/>
      <c r="E20" s="15"/>
      <c r="F20" s="15"/>
      <c r="G20" s="15"/>
      <c r="H20" s="15"/>
    </row>
    <row r="21" spans="1:15" x14ac:dyDescent="0.2">
      <c r="A21" s="32" t="s">
        <v>139</v>
      </c>
      <c r="B21" s="15">
        <f>Benefits!D15</f>
        <v>0</v>
      </c>
      <c r="C21" s="15"/>
      <c r="D21" s="15"/>
      <c r="E21" s="15"/>
      <c r="F21" s="15"/>
      <c r="G21" s="15"/>
      <c r="H21" s="15"/>
    </row>
    <row r="22" spans="1:15" x14ac:dyDescent="0.2">
      <c r="B22" s="15"/>
      <c r="C22" s="15"/>
      <c r="D22" s="15"/>
      <c r="E22" s="15"/>
      <c r="F22" s="15"/>
      <c r="G22" s="15"/>
      <c r="H22" s="15"/>
      <c r="I22" s="15"/>
    </row>
    <row r="23" spans="1:15" ht="18" x14ac:dyDescent="0.25">
      <c r="A23" s="70" t="s">
        <v>200</v>
      </c>
      <c r="B23" s="52"/>
      <c r="F23" s="15"/>
      <c r="G23" s="15"/>
      <c r="H23" s="15"/>
      <c r="I23" s="15"/>
    </row>
    <row r="24" spans="1:15" ht="15" x14ac:dyDescent="0.2">
      <c r="A24" s="49" t="s">
        <v>201</v>
      </c>
      <c r="B24" s="69"/>
      <c r="I24" s="15"/>
    </row>
    <row r="25" spans="1:15" x14ac:dyDescent="0.2">
      <c r="A25" t="s">
        <v>202</v>
      </c>
      <c r="B25" s="38"/>
      <c r="I25" s="15"/>
      <c r="J25" s="15"/>
      <c r="K25" s="15"/>
      <c r="L25" s="15"/>
      <c r="M25" s="15"/>
      <c r="N25" s="15"/>
      <c r="O25" s="15"/>
    </row>
    <row r="26" spans="1:15" x14ac:dyDescent="0.2">
      <c r="A26" t="s">
        <v>205</v>
      </c>
      <c r="B26" s="72" t="e">
        <f>Benefits!F13</f>
        <v>#DIV/0!</v>
      </c>
    </row>
    <row r="27" spans="1:15" x14ac:dyDescent="0.2">
      <c r="A27" s="5" t="s">
        <v>140</v>
      </c>
      <c r="B27" s="74" t="e">
        <f>B25*B26</f>
        <v>#DIV/0!</v>
      </c>
    </row>
    <row r="29" spans="1:15" ht="14.25" x14ac:dyDescent="0.2">
      <c r="A29" s="49" t="s">
        <v>203</v>
      </c>
      <c r="B29" s="68"/>
    </row>
    <row r="30" spans="1:15" x14ac:dyDescent="0.2">
      <c r="A30" s="71" t="s">
        <v>204</v>
      </c>
      <c r="B30" s="38"/>
    </row>
    <row r="31" spans="1:15" x14ac:dyDescent="0.2">
      <c r="A31" t="s">
        <v>205</v>
      </c>
      <c r="B31" s="72" t="e">
        <f>AVERAGE(Benefits!F14:F15)</f>
        <v>#DIV/0!</v>
      </c>
    </row>
    <row r="32" spans="1:15" x14ac:dyDescent="0.2">
      <c r="A32" s="5" t="s">
        <v>140</v>
      </c>
      <c r="B32" s="74" t="e">
        <f>B30*B31</f>
        <v>#DIV/0!</v>
      </c>
    </row>
    <row r="33" spans="1:3" ht="13.5" thickBot="1" x14ac:dyDescent="0.25"/>
    <row r="34" spans="1:3" ht="13.5" thickTop="1" x14ac:dyDescent="0.2">
      <c r="A34" s="6" t="s">
        <v>206</v>
      </c>
      <c r="B34" s="33" t="e">
        <f>B27+B32</f>
        <v>#DIV/0!</v>
      </c>
    </row>
    <row r="37" spans="1:3" ht="14.25" x14ac:dyDescent="0.2">
      <c r="A37" s="49" t="s">
        <v>207</v>
      </c>
      <c r="B37" s="68"/>
    </row>
    <row r="38" spans="1:3" x14ac:dyDescent="0.2">
      <c r="A38" s="4" t="s">
        <v>208</v>
      </c>
      <c r="B38" s="73" t="e">
        <f>SUM(I5,I7,D12:H12)/B34</f>
        <v>#DIV/0!</v>
      </c>
      <c r="C38" s="27">
        <f>SUM(I5,I7,D12:H12,D14:H14)</f>
        <v>87514.210920639394</v>
      </c>
    </row>
    <row r="39" spans="1:3" x14ac:dyDescent="0.2">
      <c r="A39" s="7" t="s">
        <v>209</v>
      </c>
      <c r="B39" s="73" t="e">
        <f>SUM(I6:I7,D13:H14)/B34</f>
        <v>#DIV/0!</v>
      </c>
      <c r="C39" s="27">
        <f>SUM(I6:I7,D13:H14)</f>
        <v>176509.53533522127</v>
      </c>
    </row>
  </sheetData>
  <phoneticPr fontId="5" type="noConversion"/>
  <pageMargins left="0.7" right="0.7" top="1.2375" bottom="0.75" header="0.3" footer="0.3"/>
  <pageSetup paperSize="5" scale="90" orientation="landscape" horizontalDpi="1200" verticalDpi="1200" r:id="rId1"/>
  <headerFooter>
    <oddHeader>&amp;L&amp;G &amp;C&amp;14Building Systems Standards Cost Benefit Analysis&amp;R&amp;9&amp;D</oddHeader>
    <oddFooter>&amp;L&amp;9Dept. of Education and Early Development&amp;C&amp;9&amp;A&amp;R&amp;9Page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4A736-FCC6-4E93-AED2-E029A7013BB5}">
  <sheetPr>
    <pageSetUpPr fitToPage="1"/>
  </sheetPr>
  <dimension ref="A1:G64"/>
  <sheetViews>
    <sheetView view="pageLayout" zoomScaleNormal="100" workbookViewId="0">
      <selection activeCell="A100" sqref="A100"/>
    </sheetView>
  </sheetViews>
  <sheetFormatPr defaultRowHeight="12.75" x14ac:dyDescent="0.2"/>
  <cols>
    <col min="1" max="1" width="33.7109375" customWidth="1"/>
  </cols>
  <sheetData>
    <row r="1" spans="1:7" ht="18" x14ac:dyDescent="0.25">
      <c r="A1" s="11" t="s">
        <v>2</v>
      </c>
      <c r="B1" s="11"/>
      <c r="C1" s="11"/>
      <c r="D1" s="11"/>
      <c r="E1" s="11"/>
      <c r="F1" s="11"/>
      <c r="G1" s="11"/>
    </row>
    <row r="2" spans="1:7" ht="18" x14ac:dyDescent="0.25">
      <c r="A2" s="8"/>
      <c r="B2" s="8"/>
      <c r="C2" s="8"/>
      <c r="D2" s="8"/>
      <c r="E2" s="8"/>
      <c r="F2" s="8"/>
      <c r="G2" s="8"/>
    </row>
    <row r="3" spans="1:7" x14ac:dyDescent="0.2">
      <c r="A3" s="1" t="s">
        <v>4</v>
      </c>
      <c r="B3" s="1"/>
    </row>
    <row r="4" spans="1:7" x14ac:dyDescent="0.2">
      <c r="A4" s="4" t="s">
        <v>3</v>
      </c>
      <c r="B4" s="38">
        <f>SUM(G22)</f>
        <v>51217.381061372791</v>
      </c>
    </row>
    <row r="5" spans="1:7" x14ac:dyDescent="0.2">
      <c r="A5" s="7" t="s">
        <v>5</v>
      </c>
      <c r="B5" s="38">
        <f>G43</f>
        <v>112375.81346153846</v>
      </c>
    </row>
    <row r="6" spans="1:7" x14ac:dyDescent="0.2">
      <c r="A6" s="32" t="s">
        <v>87</v>
      </c>
      <c r="B6" s="38">
        <f>G64</f>
        <v>6960.2556562254895</v>
      </c>
    </row>
    <row r="8" spans="1:7" ht="15" x14ac:dyDescent="0.2">
      <c r="A8" s="9" t="s">
        <v>6</v>
      </c>
      <c r="B8" s="4"/>
      <c r="C8" s="4"/>
      <c r="D8" s="4"/>
      <c r="E8" s="4"/>
      <c r="F8" s="4"/>
      <c r="G8" s="4"/>
    </row>
    <row r="9" spans="1:7" x14ac:dyDescent="0.2">
      <c r="B9" s="1" t="s">
        <v>15</v>
      </c>
      <c r="C9" s="1"/>
      <c r="E9" s="1" t="s">
        <v>14</v>
      </c>
      <c r="F9" s="1"/>
      <c r="G9" s="1"/>
    </row>
    <row r="10" spans="1:7" x14ac:dyDescent="0.2">
      <c r="A10" t="s">
        <v>7</v>
      </c>
      <c r="B10" s="3" t="s">
        <v>12</v>
      </c>
      <c r="C10" s="3" t="s">
        <v>13</v>
      </c>
      <c r="D10" s="3"/>
      <c r="E10" s="3" t="s">
        <v>12</v>
      </c>
      <c r="F10" s="3" t="s">
        <v>13</v>
      </c>
      <c r="G10" s="3" t="s">
        <v>11</v>
      </c>
    </row>
    <row r="11" spans="1:7" ht="14.25" x14ac:dyDescent="0.2">
      <c r="A11" t="s">
        <v>73</v>
      </c>
    </row>
    <row r="12" spans="1:7" x14ac:dyDescent="0.2">
      <c r="A12" s="2" t="s">
        <v>165</v>
      </c>
      <c r="B12" s="29">
        <v>2</v>
      </c>
      <c r="C12" s="29"/>
      <c r="E12" s="15">
        <f>'Staff Costs'!P11*(B12/2080)</f>
        <v>186.15</v>
      </c>
      <c r="F12" s="15">
        <f>'Staff Costs'!Q11*(C12/2080)</f>
        <v>0</v>
      </c>
      <c r="G12" s="28">
        <f>SUM(E12:F12)</f>
        <v>186.15</v>
      </c>
    </row>
    <row r="13" spans="1:7" x14ac:dyDescent="0.2">
      <c r="A13" s="2" t="s">
        <v>30</v>
      </c>
      <c r="B13" s="3">
        <f>(450/2)/2</f>
        <v>112.5</v>
      </c>
      <c r="C13" s="3">
        <f>(450/2)/2</f>
        <v>112.5</v>
      </c>
      <c r="E13" s="15">
        <f>'Staff Costs'!P12*(B13/2080)</f>
        <v>10675.817307692309</v>
      </c>
      <c r="F13" s="15">
        <f>'Staff Costs'!Q12*(C13/2080)</f>
        <v>11024.972129367312</v>
      </c>
      <c r="G13" s="15">
        <f>SUM(E13:F13)</f>
        <v>21700.789437059619</v>
      </c>
    </row>
    <row r="14" spans="1:7" x14ac:dyDescent="0.2">
      <c r="A14" s="2" t="s">
        <v>31</v>
      </c>
      <c r="B14" s="3">
        <f>(450/2)/2</f>
        <v>112.5</v>
      </c>
      <c r="C14" s="3">
        <f>(450/2)/2</f>
        <v>112.5</v>
      </c>
      <c r="E14" s="15">
        <f>'Staff Costs'!P13*(B14/2080)</f>
        <v>6309.6274038461543</v>
      </c>
      <c r="F14" s="15">
        <f>'Staff Costs'!Q13*(C14/2080)</f>
        <v>6516.1463619101751</v>
      </c>
      <c r="G14" s="15">
        <f>SUM(E14:F14)</f>
        <v>12825.77376575633</v>
      </c>
    </row>
    <row r="15" spans="1:7" x14ac:dyDescent="0.2">
      <c r="A15" s="2" t="s">
        <v>74</v>
      </c>
      <c r="B15" s="30">
        <v>20</v>
      </c>
      <c r="C15" s="30">
        <v>20</v>
      </c>
      <c r="D15" s="47"/>
      <c r="E15" s="28">
        <f>'Staff Costs'!P14*(B15/2080)</f>
        <v>1232.1730769230769</v>
      </c>
      <c r="F15" s="28">
        <f>'Staff Costs'!Q14*(C15/2080)</f>
        <v>1272.4947816337578</v>
      </c>
      <c r="G15" s="28">
        <f>SUM(E15:F15)</f>
        <v>2504.6678585568347</v>
      </c>
    </row>
    <row r="16" spans="1:7" x14ac:dyDescent="0.2">
      <c r="A16" s="5" t="s">
        <v>8</v>
      </c>
      <c r="B16" s="5"/>
      <c r="C16" s="5"/>
      <c r="D16" s="5"/>
      <c r="E16" s="34">
        <f>SUM(E12:E15)</f>
        <v>18403.76778846154</v>
      </c>
      <c r="F16" s="34">
        <f t="shared" ref="F16:G16" si="0">SUM(F12:F15)</f>
        <v>18813.613272911247</v>
      </c>
      <c r="G16" s="34">
        <f t="shared" si="0"/>
        <v>37217.381061372791</v>
      </c>
    </row>
    <row r="18" spans="1:7" x14ac:dyDescent="0.2">
      <c r="A18" t="s">
        <v>9</v>
      </c>
    </row>
    <row r="19" spans="1:7" x14ac:dyDescent="0.2">
      <c r="A19" s="2" t="s">
        <v>10</v>
      </c>
      <c r="B19" s="3">
        <f>80*0.4</f>
        <v>32</v>
      </c>
      <c r="C19" s="3">
        <f>80*0.6</f>
        <v>48</v>
      </c>
      <c r="E19" s="15">
        <f>B19*175</f>
        <v>5600</v>
      </c>
      <c r="F19" s="15">
        <f>C19*175</f>
        <v>8400</v>
      </c>
      <c r="G19" s="15">
        <f>SUM(E19:F19)</f>
        <v>14000</v>
      </c>
    </row>
    <row r="20" spans="1:7" x14ac:dyDescent="0.2">
      <c r="A20" s="5" t="s">
        <v>8</v>
      </c>
      <c r="B20" s="5"/>
      <c r="C20" s="5"/>
      <c r="D20" s="5"/>
      <c r="E20" s="34">
        <f>E19</f>
        <v>5600</v>
      </c>
      <c r="F20" s="34">
        <f>F19</f>
        <v>8400</v>
      </c>
      <c r="G20" s="34">
        <f>G19</f>
        <v>14000</v>
      </c>
    </row>
    <row r="21" spans="1:7" ht="13.5" thickBot="1" x14ac:dyDescent="0.25"/>
    <row r="22" spans="1:7" ht="13.5" thickTop="1" x14ac:dyDescent="0.2">
      <c r="A22" s="6" t="s">
        <v>11</v>
      </c>
      <c r="B22" s="6"/>
      <c r="C22" s="6"/>
      <c r="D22" s="6"/>
      <c r="E22" s="33">
        <f>SUM(E16,E20)</f>
        <v>24003.76778846154</v>
      </c>
      <c r="F22" s="33">
        <f>SUM(F16,F20)</f>
        <v>27213.613272911247</v>
      </c>
      <c r="G22" s="33">
        <f>SUM(G16,G20)</f>
        <v>51217.381061372791</v>
      </c>
    </row>
    <row r="24" spans="1:7" ht="15" x14ac:dyDescent="0.2">
      <c r="A24" s="10" t="s">
        <v>16</v>
      </c>
      <c r="B24" s="7"/>
      <c r="C24" s="7"/>
      <c r="D24" s="7"/>
      <c r="E24" s="7"/>
      <c r="F24" s="7"/>
      <c r="G24" s="7"/>
    </row>
    <row r="25" spans="1:7" x14ac:dyDescent="0.2">
      <c r="B25" s="1" t="s">
        <v>15</v>
      </c>
      <c r="C25" s="1"/>
      <c r="E25" s="1" t="s">
        <v>14</v>
      </c>
      <c r="F25" s="1"/>
      <c r="G25" s="1"/>
    </row>
    <row r="26" spans="1:7" x14ac:dyDescent="0.2">
      <c r="A26" t="s">
        <v>7</v>
      </c>
      <c r="B26" s="3" t="s">
        <v>12</v>
      </c>
      <c r="C26" s="3" t="s">
        <v>13</v>
      </c>
      <c r="D26" s="3"/>
      <c r="E26" s="3" t="s">
        <v>12</v>
      </c>
      <c r="F26" s="3" t="s">
        <v>13</v>
      </c>
      <c r="G26" s="3" t="s">
        <v>11</v>
      </c>
    </row>
    <row r="27" spans="1:7" x14ac:dyDescent="0.2">
      <c r="A27" t="s">
        <v>0</v>
      </c>
    </row>
    <row r="28" spans="1:7" x14ac:dyDescent="0.2">
      <c r="A28" s="2" t="s">
        <v>165</v>
      </c>
      <c r="B28" s="30">
        <v>2</v>
      </c>
      <c r="C28" s="30" t="s">
        <v>60</v>
      </c>
      <c r="D28" s="30"/>
      <c r="E28" s="28">
        <f>'Staff Costs'!P11*(B28/2080)</f>
        <v>186.15</v>
      </c>
      <c r="F28" s="15"/>
      <c r="G28" s="28">
        <f>SUM(E28:F28)</f>
        <v>186.15</v>
      </c>
    </row>
    <row r="29" spans="1:7" x14ac:dyDescent="0.2">
      <c r="A29" s="2" t="s">
        <v>30</v>
      </c>
      <c r="B29" s="3">
        <v>200</v>
      </c>
      <c r="C29" s="3" t="s">
        <v>60</v>
      </c>
      <c r="E29" s="15">
        <f>'Staff Costs'!P12*(B29/2080)</f>
        <v>18979.23076923077</v>
      </c>
      <c r="F29" s="15"/>
      <c r="G29" s="15">
        <f>SUM(E29:F29)</f>
        <v>18979.23076923077</v>
      </c>
    </row>
    <row r="30" spans="1:7" x14ac:dyDescent="0.2">
      <c r="A30" s="2" t="s">
        <v>74</v>
      </c>
      <c r="B30" s="30">
        <v>50</v>
      </c>
      <c r="C30" s="3" t="s">
        <v>60</v>
      </c>
      <c r="E30" s="15">
        <f>'Staff Costs'!P14*(B30/2080)</f>
        <v>3080.4326923076924</v>
      </c>
      <c r="F30" s="15"/>
      <c r="G30" s="15">
        <f>SUM(E30:F30)</f>
        <v>3080.4326923076924</v>
      </c>
    </row>
    <row r="31" spans="1:7" x14ac:dyDescent="0.2">
      <c r="A31" s="5" t="s">
        <v>8</v>
      </c>
      <c r="B31" s="5"/>
      <c r="C31" s="5"/>
      <c r="D31" s="5"/>
      <c r="E31" s="34">
        <f>SUM(E28:E30)</f>
        <v>22245.813461538462</v>
      </c>
      <c r="F31" s="34"/>
      <c r="G31" s="34">
        <f>SUM(E31:F31)</f>
        <v>22245.813461538462</v>
      </c>
    </row>
    <row r="33" spans="1:7" x14ac:dyDescent="0.2">
      <c r="A33" t="s">
        <v>9</v>
      </c>
      <c r="E33" s="15"/>
      <c r="F33" s="15"/>
      <c r="G33" s="15"/>
    </row>
    <row r="34" spans="1:7" x14ac:dyDescent="0.2">
      <c r="A34" s="62" t="s">
        <v>164</v>
      </c>
      <c r="B34" s="30">
        <f>SUM(B35:B36)*0.05</f>
        <v>24.5</v>
      </c>
      <c r="C34" s="47"/>
      <c r="D34" s="47"/>
      <c r="E34" s="28">
        <f>B34*200</f>
        <v>4900</v>
      </c>
      <c r="F34" s="28"/>
      <c r="G34" s="28">
        <f>SUM(E34:F34)</f>
        <v>4900</v>
      </c>
    </row>
    <row r="35" spans="1:7" x14ac:dyDescent="0.2">
      <c r="A35" s="62" t="s">
        <v>163</v>
      </c>
      <c r="B35" s="30">
        <v>450</v>
      </c>
      <c r="C35" s="47"/>
      <c r="D35" s="47"/>
      <c r="E35" s="28">
        <f>B35*175</f>
        <v>78750</v>
      </c>
      <c r="F35" s="28"/>
      <c r="G35" s="28">
        <f t="shared" ref="G35:G40" si="1">SUM(E35:F35)</f>
        <v>78750</v>
      </c>
    </row>
    <row r="36" spans="1:7" x14ac:dyDescent="0.2">
      <c r="A36" s="62" t="s">
        <v>162</v>
      </c>
      <c r="B36" s="30">
        <v>40</v>
      </c>
      <c r="C36" s="47"/>
      <c r="D36" s="47"/>
      <c r="E36" s="28">
        <f>B36*100</f>
        <v>4000</v>
      </c>
      <c r="F36" s="28"/>
      <c r="G36" s="28">
        <f t="shared" si="1"/>
        <v>4000</v>
      </c>
    </row>
    <row r="37" spans="1:7" x14ac:dyDescent="0.2">
      <c r="A37" s="2" t="s">
        <v>77</v>
      </c>
      <c r="E37" s="15">
        <f>SUM(E38:E40)</f>
        <v>2480</v>
      </c>
      <c r="F37" s="15"/>
      <c r="G37" s="15">
        <f t="shared" si="1"/>
        <v>2480</v>
      </c>
    </row>
    <row r="38" spans="1:7" ht="14.25" x14ac:dyDescent="0.2">
      <c r="A38" s="26" t="s">
        <v>78</v>
      </c>
      <c r="B38" s="3" t="s">
        <v>60</v>
      </c>
      <c r="C38" s="3" t="s">
        <v>60</v>
      </c>
      <c r="E38" s="15">
        <f>350*4</f>
        <v>1400</v>
      </c>
      <c r="F38" s="15"/>
      <c r="G38" s="15">
        <f t="shared" si="1"/>
        <v>1400</v>
      </c>
    </row>
    <row r="39" spans="1:7" ht="14.25" x14ac:dyDescent="0.2">
      <c r="A39" s="26" t="s">
        <v>81</v>
      </c>
      <c r="B39" s="3" t="s">
        <v>60</v>
      </c>
      <c r="C39" s="3" t="s">
        <v>60</v>
      </c>
      <c r="E39" s="15">
        <f>150*4</f>
        <v>600</v>
      </c>
      <c r="F39" s="15"/>
      <c r="G39" s="15">
        <f t="shared" si="1"/>
        <v>600</v>
      </c>
    </row>
    <row r="40" spans="1:7" ht="14.25" x14ac:dyDescent="0.2">
      <c r="A40" s="26" t="s">
        <v>83</v>
      </c>
      <c r="B40" s="3" t="s">
        <v>60</v>
      </c>
      <c r="C40" s="3" t="s">
        <v>60</v>
      </c>
      <c r="E40" s="15">
        <f>(60*4)*2</f>
        <v>480</v>
      </c>
      <c r="F40" s="15"/>
      <c r="G40" s="15">
        <f t="shared" si="1"/>
        <v>480</v>
      </c>
    </row>
    <row r="41" spans="1:7" x14ac:dyDescent="0.2">
      <c r="A41" s="5" t="s">
        <v>8</v>
      </c>
      <c r="B41" s="5"/>
      <c r="C41" s="5"/>
      <c r="D41" s="5"/>
      <c r="E41" s="34">
        <f>SUM(E34:E37)</f>
        <v>90130</v>
      </c>
      <c r="F41" s="34"/>
      <c r="G41" s="34">
        <f>SUM(E41:F41)</f>
        <v>90130</v>
      </c>
    </row>
    <row r="42" spans="1:7" ht="13.5" thickBot="1" x14ac:dyDescent="0.25"/>
    <row r="43" spans="1:7" ht="13.5" thickTop="1" x14ac:dyDescent="0.2">
      <c r="A43" s="6" t="s">
        <v>11</v>
      </c>
      <c r="B43" s="6"/>
      <c r="C43" s="6"/>
      <c r="D43" s="6"/>
      <c r="E43" s="33">
        <f>SUM(E31,E41)</f>
        <v>112375.81346153846</v>
      </c>
      <c r="F43" s="6"/>
      <c r="G43" s="33">
        <f>SUM(G31,G41)</f>
        <v>112375.81346153846</v>
      </c>
    </row>
    <row r="45" spans="1:7" ht="15" x14ac:dyDescent="0.2">
      <c r="A45" s="31" t="s">
        <v>87</v>
      </c>
      <c r="B45" s="32"/>
      <c r="C45" s="32"/>
      <c r="D45" s="32"/>
      <c r="E45" s="32"/>
      <c r="F45" s="32"/>
      <c r="G45" s="32"/>
    </row>
    <row r="46" spans="1:7" x14ac:dyDescent="0.2">
      <c r="B46" s="1" t="s">
        <v>15</v>
      </c>
      <c r="C46" s="1"/>
      <c r="E46" s="1" t="s">
        <v>14</v>
      </c>
      <c r="F46" s="1"/>
      <c r="G46" s="1"/>
    </row>
    <row r="47" spans="1:7" x14ac:dyDescent="0.2">
      <c r="A47" t="s">
        <v>7</v>
      </c>
      <c r="B47" s="3" t="s">
        <v>12</v>
      </c>
      <c r="C47" s="3" t="s">
        <v>13</v>
      </c>
      <c r="D47" s="3"/>
      <c r="E47" s="3" t="s">
        <v>12</v>
      </c>
      <c r="F47" s="3" t="s">
        <v>13</v>
      </c>
      <c r="G47" s="3" t="s">
        <v>11</v>
      </c>
    </row>
    <row r="48" spans="1:7" x14ac:dyDescent="0.2">
      <c r="A48" t="s">
        <v>88</v>
      </c>
    </row>
    <row r="49" spans="1:7" x14ac:dyDescent="0.2">
      <c r="A49" s="2" t="s">
        <v>165</v>
      </c>
      <c r="B49" s="3" t="s">
        <v>60</v>
      </c>
      <c r="C49" s="3">
        <v>16</v>
      </c>
      <c r="E49" s="15"/>
      <c r="F49" s="15">
        <f>'Staff Costs'!Q11*(C49/2080)</f>
        <v>1537.9058931920831</v>
      </c>
      <c r="G49" s="15">
        <f>SUM(E49:F49)</f>
        <v>1537.9058931920831</v>
      </c>
    </row>
    <row r="50" spans="1:7" x14ac:dyDescent="0.2">
      <c r="A50" s="2" t="s">
        <v>30</v>
      </c>
      <c r="B50" s="3" t="s">
        <v>60</v>
      </c>
      <c r="C50" s="3">
        <v>8</v>
      </c>
      <c r="F50" s="15">
        <f>'Staff Costs'!Q12*(C50/2080)</f>
        <v>783.99801808834229</v>
      </c>
      <c r="G50" s="15">
        <f>SUM(E50:F50)</f>
        <v>783.99801808834229</v>
      </c>
    </row>
    <row r="51" spans="1:7" x14ac:dyDescent="0.2">
      <c r="A51" s="2" t="s">
        <v>74</v>
      </c>
      <c r="B51" s="3" t="s">
        <v>60</v>
      </c>
      <c r="C51" s="3">
        <v>8</v>
      </c>
      <c r="F51" s="15">
        <f>'Staff Costs'!Q14*(C51/2080)</f>
        <v>508.99791265350319</v>
      </c>
      <c r="G51" s="15">
        <f>SUM(E51:F51)</f>
        <v>508.99791265350319</v>
      </c>
    </row>
    <row r="52" spans="1:7" x14ac:dyDescent="0.2">
      <c r="A52" s="5" t="s">
        <v>8</v>
      </c>
      <c r="B52" s="5"/>
      <c r="C52" s="5"/>
      <c r="D52" s="5"/>
      <c r="E52" s="5"/>
      <c r="F52" s="34">
        <f>SUM(F49:F51)</f>
        <v>2830.9018239339284</v>
      </c>
      <c r="G52" s="34">
        <f>SUM(G49:G51)</f>
        <v>2830.9018239339284</v>
      </c>
    </row>
    <row r="54" spans="1:7" x14ac:dyDescent="0.2">
      <c r="A54" s="24" t="s">
        <v>210</v>
      </c>
    </row>
    <row r="55" spans="1:7" x14ac:dyDescent="0.2">
      <c r="A55" s="2" t="s">
        <v>165</v>
      </c>
      <c r="B55" s="3" t="s">
        <v>60</v>
      </c>
      <c r="C55" s="3">
        <v>24</v>
      </c>
      <c r="F55" s="15">
        <f>'Staff Costs'!Q11*(C55/2080)</f>
        <v>2306.8588397881244</v>
      </c>
      <c r="G55" s="15">
        <f>SUM(E55:F55)</f>
        <v>2306.8588397881244</v>
      </c>
    </row>
    <row r="56" spans="1:7" x14ac:dyDescent="0.2">
      <c r="A56" s="2" t="s">
        <v>30</v>
      </c>
      <c r="B56" s="3" t="s">
        <v>60</v>
      </c>
      <c r="C56" s="3">
        <v>8</v>
      </c>
      <c r="F56" s="15">
        <f>'Staff Costs'!Q12*(C56/2080)</f>
        <v>783.99801808834229</v>
      </c>
      <c r="G56" s="15">
        <f>SUM(E56:F56)</f>
        <v>783.99801808834229</v>
      </c>
    </row>
    <row r="57" spans="1:7" x14ac:dyDescent="0.2">
      <c r="A57" s="5" t="s">
        <v>8</v>
      </c>
      <c r="B57" s="5"/>
      <c r="C57" s="5"/>
      <c r="D57" s="5"/>
      <c r="E57" s="5"/>
      <c r="F57" s="34">
        <f>SUM(F55:F56)</f>
        <v>3090.8568578764666</v>
      </c>
      <c r="G57" s="34">
        <f>SUM(G55:G56)</f>
        <v>3090.8568578764666</v>
      </c>
    </row>
    <row r="58" spans="1:7" x14ac:dyDescent="0.2">
      <c r="A58" s="35"/>
      <c r="B58" s="35"/>
      <c r="C58" s="35"/>
      <c r="D58" s="35"/>
      <c r="E58" s="35"/>
      <c r="F58" s="36"/>
      <c r="G58" s="36"/>
    </row>
    <row r="59" spans="1:7" x14ac:dyDescent="0.2">
      <c r="A59" s="35" t="s">
        <v>90</v>
      </c>
      <c r="B59" s="35"/>
      <c r="C59" s="35"/>
      <c r="D59" s="35"/>
      <c r="E59" s="35"/>
      <c r="F59" s="36"/>
      <c r="G59" s="36"/>
    </row>
    <row r="60" spans="1:7" x14ac:dyDescent="0.2">
      <c r="A60" s="2" t="s">
        <v>30</v>
      </c>
      <c r="B60" s="37" t="s">
        <v>60</v>
      </c>
      <c r="C60" s="37">
        <f>4+4</f>
        <v>8</v>
      </c>
      <c r="D60" s="35"/>
      <c r="E60" s="35"/>
      <c r="F60" s="15">
        <f>'Staff Costs'!Q12*(C60/2080)</f>
        <v>783.99801808834229</v>
      </c>
      <c r="G60" s="36">
        <f>SUM(E60:F60)</f>
        <v>783.99801808834229</v>
      </c>
    </row>
    <row r="61" spans="1:7" x14ac:dyDescent="0.2">
      <c r="A61" s="2" t="s">
        <v>74</v>
      </c>
      <c r="B61" s="37" t="s">
        <v>60</v>
      </c>
      <c r="C61" s="37">
        <v>4</v>
      </c>
      <c r="D61" s="35"/>
      <c r="E61" s="35"/>
      <c r="F61" s="15">
        <f>'Staff Costs'!Q14*(C61/2080)</f>
        <v>254.4989563267516</v>
      </c>
      <c r="G61" s="36">
        <f>SUM(E61:F61)</f>
        <v>254.4989563267516</v>
      </c>
    </row>
    <row r="62" spans="1:7" x14ac:dyDescent="0.2">
      <c r="A62" s="5" t="s">
        <v>8</v>
      </c>
      <c r="B62" s="5"/>
      <c r="C62" s="5"/>
      <c r="D62" s="5"/>
      <c r="E62" s="5"/>
      <c r="F62" s="34">
        <f>SUM(F60:F61)</f>
        <v>1038.496974415094</v>
      </c>
      <c r="G62" s="34">
        <f>SUM(G60:G61)</f>
        <v>1038.496974415094</v>
      </c>
    </row>
    <row r="63" spans="1:7" ht="13.5" thickBot="1" x14ac:dyDescent="0.25"/>
    <row r="64" spans="1:7" ht="13.5" thickTop="1" x14ac:dyDescent="0.2">
      <c r="A64" s="6" t="s">
        <v>11</v>
      </c>
      <c r="B64" s="6"/>
      <c r="C64" s="6"/>
      <c r="D64" s="6"/>
      <c r="E64" s="6"/>
      <c r="F64" s="33">
        <f>SUM(F52,F57, F62)</f>
        <v>6960.2556562254895</v>
      </c>
      <c r="G64" s="33">
        <f>SUM(G52,G57, F62)</f>
        <v>6960.2556562254895</v>
      </c>
    </row>
  </sheetData>
  <pageMargins left="0.7" right="0.7" top="1.3645833333333333" bottom="0.75" header="0.3" footer="0.3"/>
  <pageSetup fitToHeight="0" orientation="portrait" horizontalDpi="1200" verticalDpi="1200" r:id="rId1"/>
  <headerFooter>
    <oddHeader>&amp;L&amp;G &amp;C&amp;14Building Systems Standards Cost Benefit Analysis&amp;R&amp;9&amp;D</oddHeader>
    <oddFooter>&amp;L&amp;9Dept. of Education and Early Development&amp;C&amp;9&amp;A&amp;R&amp;9Page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BA45C-71A4-4DF6-ABAA-335E042BFC2A}">
  <dimension ref="A1:U50"/>
  <sheetViews>
    <sheetView view="pageLayout" zoomScaleNormal="100" workbookViewId="0">
      <selection activeCell="B39" sqref="B39"/>
    </sheetView>
  </sheetViews>
  <sheetFormatPr defaultRowHeight="12.75" x14ac:dyDescent="0.2"/>
  <cols>
    <col min="1" max="1" width="34" customWidth="1"/>
    <col min="2" max="14" width="9.7109375" customWidth="1"/>
  </cols>
  <sheetData>
    <row r="1" spans="1:15" ht="18" x14ac:dyDescent="0.25">
      <c r="A1" s="11" t="s">
        <v>17</v>
      </c>
      <c r="B1" s="11"/>
      <c r="C1" s="11"/>
      <c r="D1" s="11"/>
      <c r="E1" s="11"/>
      <c r="F1" s="11"/>
      <c r="G1" s="11"/>
      <c r="H1" s="11"/>
      <c r="I1" s="11"/>
      <c r="J1" s="11"/>
      <c r="K1" s="11"/>
      <c r="L1" s="11"/>
      <c r="M1" s="11"/>
      <c r="N1" s="11"/>
    </row>
    <row r="2" spans="1:15" ht="18" x14ac:dyDescent="0.25">
      <c r="A2" s="8"/>
      <c r="B2" s="8"/>
      <c r="C2" s="8"/>
      <c r="D2" s="8"/>
      <c r="E2" s="8"/>
      <c r="F2" s="8"/>
      <c r="G2" s="8"/>
      <c r="H2" s="8"/>
      <c r="I2" s="8"/>
      <c r="J2" s="8"/>
      <c r="K2" s="8"/>
      <c r="L2" s="8"/>
      <c r="M2" s="8"/>
      <c r="N2" s="8"/>
    </row>
    <row r="3" spans="1:15" x14ac:dyDescent="0.2">
      <c r="A3" s="1" t="s">
        <v>102</v>
      </c>
      <c r="B3" s="1"/>
    </row>
    <row r="4" spans="1:15" x14ac:dyDescent="0.2">
      <c r="A4" s="1"/>
      <c r="B4" s="3" t="s">
        <v>115</v>
      </c>
      <c r="C4" s="3" t="s">
        <v>11</v>
      </c>
    </row>
    <row r="5" spans="1:15" x14ac:dyDescent="0.2">
      <c r="A5" s="4" t="s">
        <v>18</v>
      </c>
      <c r="B5" s="38">
        <f>N22</f>
        <v>4306.7607261234316</v>
      </c>
      <c r="C5" s="38">
        <f>M22</f>
        <v>21533.80363061716</v>
      </c>
    </row>
    <row r="6" spans="1:15" x14ac:dyDescent="0.2">
      <c r="A6" s="7" t="s">
        <v>20</v>
      </c>
      <c r="B6" s="38">
        <f>N38</f>
        <v>9874.1391290066786</v>
      </c>
      <c r="C6" s="38">
        <f>M38</f>
        <v>49370.695645033404</v>
      </c>
    </row>
    <row r="7" spans="1:15" x14ac:dyDescent="0.2">
      <c r="A7" s="32" t="s">
        <v>91</v>
      </c>
      <c r="B7" s="38">
        <f>N50</f>
        <v>1560.554114484788</v>
      </c>
      <c r="C7" s="38">
        <f>M50</f>
        <v>7802.7705724239413</v>
      </c>
    </row>
    <row r="9" spans="1:15" ht="15" x14ac:dyDescent="0.2">
      <c r="A9" s="9" t="s">
        <v>19</v>
      </c>
      <c r="B9" s="4"/>
      <c r="C9" s="4"/>
      <c r="D9" s="4"/>
      <c r="E9" s="4"/>
      <c r="F9" s="4"/>
      <c r="G9" s="4"/>
      <c r="H9" s="4"/>
      <c r="I9" s="4"/>
      <c r="J9" s="4"/>
      <c r="K9" s="4"/>
      <c r="L9" s="4"/>
      <c r="M9" s="4"/>
      <c r="N9" s="4"/>
    </row>
    <row r="10" spans="1:15" x14ac:dyDescent="0.2">
      <c r="B10" s="1" t="s">
        <v>15</v>
      </c>
      <c r="C10" s="1"/>
      <c r="D10" s="1"/>
      <c r="E10" s="1"/>
      <c r="F10" s="1"/>
      <c r="H10" s="1" t="s">
        <v>14</v>
      </c>
      <c r="I10" s="1"/>
      <c r="J10" s="1"/>
      <c r="K10" s="1"/>
      <c r="L10" s="1"/>
      <c r="M10" s="1"/>
      <c r="N10" s="1"/>
    </row>
    <row r="11" spans="1:15" x14ac:dyDescent="0.2">
      <c r="A11" t="s">
        <v>7</v>
      </c>
      <c r="B11" s="3" t="s">
        <v>22</v>
      </c>
      <c r="C11" s="3" t="s">
        <v>23</v>
      </c>
      <c r="D11" s="3" t="s">
        <v>24</v>
      </c>
      <c r="E11" s="3" t="s">
        <v>112</v>
      </c>
      <c r="F11" s="3" t="s">
        <v>113</v>
      </c>
      <c r="G11" s="3"/>
      <c r="H11" s="3" t="s">
        <v>22</v>
      </c>
      <c r="I11" s="3" t="s">
        <v>23</v>
      </c>
      <c r="J11" s="3" t="s">
        <v>24</v>
      </c>
      <c r="K11" s="3" t="s">
        <v>112</v>
      </c>
      <c r="L11" s="3" t="s">
        <v>113</v>
      </c>
      <c r="M11" s="3" t="s">
        <v>11</v>
      </c>
      <c r="N11" s="3" t="s">
        <v>115</v>
      </c>
    </row>
    <row r="12" spans="1:15" ht="14.25" x14ac:dyDescent="0.2">
      <c r="A12" t="s">
        <v>73</v>
      </c>
    </row>
    <row r="13" spans="1:15" x14ac:dyDescent="0.2">
      <c r="A13" s="2" t="s">
        <v>30</v>
      </c>
      <c r="B13" s="3">
        <v>20</v>
      </c>
      <c r="C13" s="3">
        <v>20</v>
      </c>
      <c r="D13" s="30">
        <v>20</v>
      </c>
      <c r="E13" s="3">
        <v>20</v>
      </c>
      <c r="F13" s="3">
        <v>20</v>
      </c>
      <c r="H13" s="15">
        <f>'Staff Costs'!R12*(B13/2080)</f>
        <v>2024.0972548165878</v>
      </c>
      <c r="I13" s="15">
        <f>'Staff Costs'!S12*(C13/2080)</f>
        <v>2090.2961159815336</v>
      </c>
      <c r="J13" s="15">
        <f>'Staff Costs'!T12*(D13/2080)</f>
        <v>2158.6602114806656</v>
      </c>
      <c r="K13" s="15">
        <f>'Staff Costs'!U12*(E13/2080)</f>
        <v>2229.2603676478006</v>
      </c>
      <c r="L13" s="15">
        <f>'Staff Costs'!V12*(F13/2080)</f>
        <v>2302.1697277862213</v>
      </c>
      <c r="M13" s="15">
        <f>SUM(H13:L13)</f>
        <v>10804.483677712808</v>
      </c>
      <c r="N13" s="15">
        <f>AVERAGE(H13:L13)</f>
        <v>2160.8967355425616</v>
      </c>
      <c r="O13" s="25"/>
    </row>
    <row r="14" spans="1:15" x14ac:dyDescent="0.2">
      <c r="A14" s="2" t="s">
        <v>31</v>
      </c>
      <c r="B14" s="3">
        <v>20</v>
      </c>
      <c r="C14" s="3">
        <v>20</v>
      </c>
      <c r="D14" s="30">
        <v>20</v>
      </c>
      <c r="E14" s="3">
        <v>20</v>
      </c>
      <c r="F14" s="3">
        <v>20</v>
      </c>
      <c r="H14" s="15">
        <f>'Staff Costs'!R13*(B14/2080)</f>
        <v>1196.3422973862298</v>
      </c>
      <c r="I14" s="15">
        <f>'Staff Costs'!S13*(C14/2080)</f>
        <v>1235.4997133933769</v>
      </c>
      <c r="J14" s="15">
        <f>'Staff Costs'!T13*(D14/2080)</f>
        <v>1275.938898416304</v>
      </c>
      <c r="K14" s="15">
        <f>'Staff Costs'!U13*(E14/2080)</f>
        <v>1317.7018131689895</v>
      </c>
      <c r="L14" s="15">
        <f>'Staff Costs'!V13*(F14/2080)</f>
        <v>1360.8317921337375</v>
      </c>
      <c r="M14" s="15">
        <f>SUM(H14:L14)</f>
        <v>6386.3145144986374</v>
      </c>
      <c r="N14" s="15">
        <f>AVERAGE(H14:L14)</f>
        <v>1277.2629028997276</v>
      </c>
    </row>
    <row r="15" spans="1:15" x14ac:dyDescent="0.2">
      <c r="A15" s="2" t="s">
        <v>74</v>
      </c>
      <c r="B15" s="3">
        <v>4</v>
      </c>
      <c r="C15" s="3">
        <v>4</v>
      </c>
      <c r="D15" s="3">
        <v>4</v>
      </c>
      <c r="E15" s="3">
        <v>4</v>
      </c>
      <c r="F15" s="3">
        <v>4</v>
      </c>
      <c r="H15" s="15">
        <f>'Staff Costs'!R14*(B15/2080)</f>
        <v>262.82721754642921</v>
      </c>
      <c r="I15" s="15">
        <f>'Staff Costs'!S14*(C15/2080)</f>
        <v>271.42803705040973</v>
      </c>
      <c r="J15" s="15">
        <f>'Staff Costs'!T14*(D15/2080)</f>
        <v>280.31033558815972</v>
      </c>
      <c r="K15" s="15">
        <f>'Staff Costs'!U14*(E15/2080)</f>
        <v>289.48332590749311</v>
      </c>
      <c r="L15" s="15">
        <f>'Staff Costs'!V14*(F15/2080)</f>
        <v>298.95652231322464</v>
      </c>
      <c r="M15" s="15">
        <f>SUM(H15:L15)</f>
        <v>1403.0054384057164</v>
      </c>
      <c r="N15" s="15">
        <f>AVERAGE(H15:L15)</f>
        <v>280.60108768114327</v>
      </c>
    </row>
    <row r="16" spans="1:15" x14ac:dyDescent="0.2">
      <c r="A16" s="5" t="s">
        <v>8</v>
      </c>
      <c r="B16" s="5"/>
      <c r="C16" s="5"/>
      <c r="D16" s="5"/>
      <c r="E16" s="5"/>
      <c r="F16" s="5"/>
      <c r="G16" s="5"/>
      <c r="H16" s="34">
        <f>SUM(H13:H15)</f>
        <v>3483.266769749247</v>
      </c>
      <c r="I16" s="34">
        <f t="shared" ref="I16:L16" si="0">SUM(I13:I15)</f>
        <v>3597.2238664253205</v>
      </c>
      <c r="J16" s="34">
        <f t="shared" si="0"/>
        <v>3714.9094454851297</v>
      </c>
      <c r="K16" s="34">
        <f t="shared" si="0"/>
        <v>3836.4455067242834</v>
      </c>
      <c r="L16" s="34">
        <f t="shared" si="0"/>
        <v>3961.9580422331833</v>
      </c>
      <c r="M16" s="34">
        <f>SUM(H16:L16)</f>
        <v>18593.803630617163</v>
      </c>
      <c r="N16" s="34">
        <f>AVERAGE(H16:L16)</f>
        <v>3718.7607261234325</v>
      </c>
    </row>
    <row r="18" spans="1:19" x14ac:dyDescent="0.2">
      <c r="A18" t="s">
        <v>9</v>
      </c>
    </row>
    <row r="19" spans="1:19" x14ac:dyDescent="0.2">
      <c r="A19" s="2" t="s">
        <v>10</v>
      </c>
      <c r="B19" s="3">
        <v>0</v>
      </c>
      <c r="C19" s="3">
        <v>0</v>
      </c>
      <c r="D19" s="30">
        <v>16</v>
      </c>
      <c r="E19" s="3">
        <v>0</v>
      </c>
      <c r="F19" s="3">
        <v>0</v>
      </c>
      <c r="H19" s="15">
        <f>B19*(175*1.05)</f>
        <v>0</v>
      </c>
      <c r="I19" s="15">
        <f>C19*(175*1.05)</f>
        <v>0</v>
      </c>
      <c r="J19" s="15">
        <f>D19*(175*1.05)</f>
        <v>2940</v>
      </c>
      <c r="K19" s="15">
        <f>E19*(183.75*1.05)</f>
        <v>0</v>
      </c>
      <c r="L19" s="15">
        <f>F19*(183.75*1.05)</f>
        <v>0</v>
      </c>
      <c r="M19" s="15">
        <f>SUM(H19:L19)</f>
        <v>2940</v>
      </c>
      <c r="N19" s="15">
        <f>AVERAGE(H19:L19)</f>
        <v>588</v>
      </c>
      <c r="Q19" s="27"/>
      <c r="R19" s="27"/>
      <c r="S19" s="27"/>
    </row>
    <row r="20" spans="1:19" x14ac:dyDescent="0.2">
      <c r="A20" s="5" t="s">
        <v>8</v>
      </c>
      <c r="B20" s="5"/>
      <c r="C20" s="5"/>
      <c r="D20" s="5"/>
      <c r="E20" s="5"/>
      <c r="F20" s="5"/>
      <c r="G20" s="5"/>
      <c r="H20" s="34">
        <f>SUM(H19)</f>
        <v>0</v>
      </c>
      <c r="I20" s="34">
        <f t="shared" ref="I20:L20" si="1">SUM(I19)</f>
        <v>0</v>
      </c>
      <c r="J20" s="34">
        <f t="shared" si="1"/>
        <v>2940</v>
      </c>
      <c r="K20" s="34">
        <f t="shared" si="1"/>
        <v>0</v>
      </c>
      <c r="L20" s="34">
        <f t="shared" si="1"/>
        <v>0</v>
      </c>
      <c r="M20" s="34">
        <f>SUM(H20:L20)</f>
        <v>2940</v>
      </c>
      <c r="N20" s="34">
        <f>AVERAGE(H20:L20)</f>
        <v>588</v>
      </c>
    </row>
    <row r="21" spans="1:19" ht="13.5" thickBot="1" x14ac:dyDescent="0.25"/>
    <row r="22" spans="1:19" ht="13.5" thickTop="1" x14ac:dyDescent="0.2">
      <c r="A22" s="6" t="s">
        <v>11</v>
      </c>
      <c r="B22" s="6"/>
      <c r="C22" s="6"/>
      <c r="D22" s="6"/>
      <c r="E22" s="6"/>
      <c r="F22" s="6"/>
      <c r="G22" s="6"/>
      <c r="H22" s="33">
        <f>SUM(H16,H20)</f>
        <v>3483.266769749247</v>
      </c>
      <c r="I22" s="33">
        <f t="shared" ref="I22:L22" si="2">SUM(I16,I20)</f>
        <v>3597.2238664253205</v>
      </c>
      <c r="J22" s="33">
        <f t="shared" si="2"/>
        <v>6654.9094454851293</v>
      </c>
      <c r="K22" s="33">
        <f t="shared" si="2"/>
        <v>3836.4455067242834</v>
      </c>
      <c r="L22" s="33">
        <f t="shared" si="2"/>
        <v>3961.9580422331833</v>
      </c>
      <c r="M22" s="33">
        <f>SUM(H22:L22)</f>
        <v>21533.80363061716</v>
      </c>
      <c r="N22" s="33">
        <f>AVERAGE(H22:L22)</f>
        <v>4306.7607261234316</v>
      </c>
    </row>
    <row r="24" spans="1:19" ht="15" x14ac:dyDescent="0.2">
      <c r="A24" s="10" t="s">
        <v>21</v>
      </c>
      <c r="B24" s="7"/>
      <c r="C24" s="7"/>
      <c r="D24" s="7"/>
      <c r="E24" s="7"/>
      <c r="F24" s="7"/>
      <c r="G24" s="7"/>
      <c r="H24" s="7"/>
      <c r="I24" s="7"/>
      <c r="J24" s="7"/>
      <c r="K24" s="7"/>
      <c r="L24" s="7"/>
      <c r="M24" s="7"/>
      <c r="N24" s="7"/>
    </row>
    <row r="25" spans="1:19" x14ac:dyDescent="0.2">
      <c r="B25" s="1" t="s">
        <v>15</v>
      </c>
      <c r="C25" s="1"/>
      <c r="D25" s="1"/>
      <c r="E25" s="1"/>
      <c r="F25" s="1"/>
      <c r="H25" s="1" t="s">
        <v>14</v>
      </c>
      <c r="I25" s="1"/>
      <c r="J25" s="1"/>
      <c r="K25" s="1"/>
      <c r="L25" s="1"/>
      <c r="M25" s="1"/>
      <c r="N25" s="1"/>
    </row>
    <row r="26" spans="1:19" x14ac:dyDescent="0.2">
      <c r="A26" t="s">
        <v>7</v>
      </c>
      <c r="B26" s="3" t="s">
        <v>22</v>
      </c>
      <c r="C26" s="3" t="s">
        <v>23</v>
      </c>
      <c r="D26" s="3" t="s">
        <v>24</v>
      </c>
      <c r="E26" s="3" t="s">
        <v>112</v>
      </c>
      <c r="F26" s="3" t="s">
        <v>113</v>
      </c>
      <c r="H26" s="3" t="s">
        <v>22</v>
      </c>
      <c r="I26" s="3" t="s">
        <v>23</v>
      </c>
      <c r="J26" s="3" t="s">
        <v>24</v>
      </c>
      <c r="K26" s="3" t="s">
        <v>112</v>
      </c>
      <c r="L26" s="3" t="s">
        <v>113</v>
      </c>
      <c r="M26" s="3" t="s">
        <v>11</v>
      </c>
      <c r="N26" s="3" t="s">
        <v>115</v>
      </c>
    </row>
    <row r="27" spans="1:19" x14ac:dyDescent="0.2">
      <c r="A27" t="s">
        <v>0</v>
      </c>
    </row>
    <row r="28" spans="1:19" x14ac:dyDescent="0.2">
      <c r="A28" s="2" t="s">
        <v>30</v>
      </c>
      <c r="B28" s="3">
        <v>12</v>
      </c>
      <c r="C28" s="3">
        <v>12</v>
      </c>
      <c r="D28" s="3">
        <v>12</v>
      </c>
      <c r="E28" s="3">
        <v>12</v>
      </c>
      <c r="F28" s="3">
        <v>12</v>
      </c>
      <c r="H28" s="15">
        <f>'Staff Costs'!R12*(B28/2080)</f>
        <v>1214.4583528899527</v>
      </c>
      <c r="I28" s="15">
        <f>'Staff Costs'!S12*(C28/2080)</f>
        <v>1254.1776695889203</v>
      </c>
      <c r="J28" s="15">
        <f>'Staff Costs'!T12*(D28/2080)</f>
        <v>1295.1961268883995</v>
      </c>
      <c r="K28" s="15">
        <f>'Staff Costs'!U12*(E28/2080)</f>
        <v>1337.5562205886804</v>
      </c>
      <c r="L28" s="15">
        <f>'Staff Costs'!V12*(F28/2080)</f>
        <v>1381.3018366717326</v>
      </c>
      <c r="M28" s="15">
        <f>SUM(H28:L28)</f>
        <v>6482.6902066276862</v>
      </c>
      <c r="N28" s="15">
        <f>AVERAGE(H28:L28)</f>
        <v>1296.5380413255373</v>
      </c>
    </row>
    <row r="29" spans="1:19" x14ac:dyDescent="0.2">
      <c r="A29" s="2" t="s">
        <v>74</v>
      </c>
      <c r="B29" s="3">
        <v>4</v>
      </c>
      <c r="C29" s="3">
        <v>4</v>
      </c>
      <c r="D29" s="3">
        <v>4</v>
      </c>
      <c r="E29" s="3">
        <v>4</v>
      </c>
      <c r="F29" s="3">
        <v>4</v>
      </c>
      <c r="H29" s="15">
        <f>'Staff Costs'!R14*(B29/2080)</f>
        <v>262.82721754642921</v>
      </c>
      <c r="I29" s="15">
        <f>'Staff Costs'!S14*(C29/2080)</f>
        <v>271.42803705040973</v>
      </c>
      <c r="J29" s="15">
        <f>'Staff Costs'!T14*(D29/2080)</f>
        <v>280.31033558815972</v>
      </c>
      <c r="K29" s="15">
        <f>'Staff Costs'!U14*(E29/2080)</f>
        <v>289.48332590749311</v>
      </c>
      <c r="L29" s="15">
        <f>'Staff Costs'!V14*(F29/2080)</f>
        <v>298.95652231322464</v>
      </c>
      <c r="M29" s="15">
        <f>SUM(H29:L29)</f>
        <v>1403.0054384057164</v>
      </c>
      <c r="N29" s="15">
        <f>AVERAGE(H29:L29)</f>
        <v>280.60108768114327</v>
      </c>
    </row>
    <row r="30" spans="1:19" x14ac:dyDescent="0.2">
      <c r="A30" s="5" t="s">
        <v>8</v>
      </c>
      <c r="B30" s="5"/>
      <c r="C30" s="5"/>
      <c r="D30" s="5"/>
      <c r="E30" s="5"/>
      <c r="F30" s="5"/>
      <c r="G30" s="5"/>
      <c r="H30" s="34">
        <f>SUM(H28:H29)</f>
        <v>1477.2855704363819</v>
      </c>
      <c r="I30" s="34">
        <f t="shared" ref="I30:M30" si="3">SUM(I28:I29)</f>
        <v>1525.60570663933</v>
      </c>
      <c r="J30" s="34">
        <f t="shared" si="3"/>
        <v>1575.5064624765591</v>
      </c>
      <c r="K30" s="34">
        <f t="shared" si="3"/>
        <v>1627.0395464961734</v>
      </c>
      <c r="L30" s="34">
        <f t="shared" si="3"/>
        <v>1680.2583589849573</v>
      </c>
      <c r="M30" s="34">
        <f t="shared" si="3"/>
        <v>7885.6956450334028</v>
      </c>
      <c r="N30" s="34">
        <f>AVERAGE(H30:L30)</f>
        <v>1577.1391290066802</v>
      </c>
    </row>
    <row r="31" spans="1:19" ht="91.5" customHeight="1" x14ac:dyDescent="0.2"/>
    <row r="32" spans="1:19" x14ac:dyDescent="0.2">
      <c r="A32" t="s">
        <v>9</v>
      </c>
    </row>
    <row r="33" spans="1:21" x14ac:dyDescent="0.2">
      <c r="A33" s="62" t="s">
        <v>164</v>
      </c>
      <c r="B33" s="3">
        <v>2</v>
      </c>
      <c r="C33" s="3">
        <v>2</v>
      </c>
      <c r="D33" s="3">
        <v>2</v>
      </c>
      <c r="E33" s="3">
        <v>2</v>
      </c>
      <c r="F33" s="3">
        <v>2</v>
      </c>
      <c r="H33" s="15">
        <f>B33*200</f>
        <v>400</v>
      </c>
      <c r="I33" s="15">
        <f t="shared" ref="I33:L33" si="4">C33*200</f>
        <v>400</v>
      </c>
      <c r="J33" s="15">
        <f t="shared" si="4"/>
        <v>400</v>
      </c>
      <c r="K33" s="15">
        <f t="shared" si="4"/>
        <v>400</v>
      </c>
      <c r="L33" s="15">
        <f t="shared" si="4"/>
        <v>400</v>
      </c>
      <c r="M33" s="15">
        <f>SUM(H33:L33)</f>
        <v>2000</v>
      </c>
      <c r="N33" s="15">
        <f>AVERAGE(H33:L33)</f>
        <v>400</v>
      </c>
    </row>
    <row r="34" spans="1:21" x14ac:dyDescent="0.2">
      <c r="A34" s="62" t="s">
        <v>163</v>
      </c>
      <c r="B34" s="3">
        <v>40</v>
      </c>
      <c r="C34" s="3">
        <v>40</v>
      </c>
      <c r="D34" s="3">
        <v>40</v>
      </c>
      <c r="E34" s="3">
        <v>40</v>
      </c>
      <c r="F34" s="3">
        <v>40</v>
      </c>
      <c r="H34" s="15">
        <f>B34*(175*1.05)</f>
        <v>7350</v>
      </c>
      <c r="I34" s="15">
        <f t="shared" ref="I34:J34" si="5">C34*(175*1.05)</f>
        <v>7350</v>
      </c>
      <c r="J34" s="15">
        <f t="shared" si="5"/>
        <v>7350</v>
      </c>
      <c r="K34" s="15">
        <f>E34*(183.75*1.05)</f>
        <v>7717.5</v>
      </c>
      <c r="L34" s="15">
        <f>F34*(183.75*1.05)</f>
        <v>7717.5</v>
      </c>
      <c r="M34" s="15">
        <f>SUM(H34:L34)</f>
        <v>37485</v>
      </c>
      <c r="N34" s="15">
        <f>AVERAGE(H34:L34)</f>
        <v>7497</v>
      </c>
      <c r="P34" s="25"/>
      <c r="Q34" s="27"/>
      <c r="R34" s="27"/>
      <c r="S34" s="27"/>
      <c r="T34" s="27"/>
    </row>
    <row r="35" spans="1:21" x14ac:dyDescent="0.2">
      <c r="A35" s="62" t="s">
        <v>162</v>
      </c>
      <c r="B35" s="3">
        <v>4</v>
      </c>
      <c r="C35" s="3">
        <v>4</v>
      </c>
      <c r="D35" s="3">
        <v>4</v>
      </c>
      <c r="E35" s="3">
        <v>4</v>
      </c>
      <c r="F35" s="3">
        <v>4</v>
      </c>
      <c r="H35" s="15">
        <f>B35*100</f>
        <v>400</v>
      </c>
      <c r="I35" s="15">
        <f t="shared" ref="I35:L35" si="6">C35*100</f>
        <v>400</v>
      </c>
      <c r="J35" s="15">
        <f t="shared" si="6"/>
        <v>400</v>
      </c>
      <c r="K35" s="15">
        <f t="shared" si="6"/>
        <v>400</v>
      </c>
      <c r="L35" s="15">
        <f t="shared" si="6"/>
        <v>400</v>
      </c>
      <c r="M35" s="15">
        <f>SUM(H35:L35)</f>
        <v>2000</v>
      </c>
      <c r="N35" s="15">
        <f>AVERAGE(H35:L35)</f>
        <v>400</v>
      </c>
    </row>
    <row r="36" spans="1:21" x14ac:dyDescent="0.2">
      <c r="A36" s="5" t="s">
        <v>8</v>
      </c>
      <c r="B36" s="5"/>
      <c r="C36" s="5"/>
      <c r="D36" s="5"/>
      <c r="E36" s="5"/>
      <c r="F36" s="5"/>
      <c r="G36" s="5"/>
      <c r="H36" s="34">
        <f>SUM(H33:H35)</f>
        <v>8150</v>
      </c>
      <c r="I36" s="34">
        <f t="shared" ref="I36:L36" si="7">SUM(I33:I35)</f>
        <v>8150</v>
      </c>
      <c r="J36" s="34">
        <f t="shared" si="7"/>
        <v>8150</v>
      </c>
      <c r="K36" s="34">
        <f t="shared" si="7"/>
        <v>8517.5</v>
      </c>
      <c r="L36" s="34">
        <f t="shared" si="7"/>
        <v>8517.5</v>
      </c>
      <c r="M36" s="34">
        <f>SUM(H36:L36)</f>
        <v>41485</v>
      </c>
      <c r="N36" s="34">
        <f>AVERAGE(H36:L36)</f>
        <v>8297</v>
      </c>
      <c r="P36" s="27"/>
      <c r="Q36" s="27"/>
      <c r="R36" s="27"/>
      <c r="S36" s="27"/>
      <c r="T36" s="27"/>
      <c r="U36" s="27"/>
    </row>
    <row r="37" spans="1:21" ht="13.5" thickBot="1" x14ac:dyDescent="0.25">
      <c r="A37" s="35"/>
      <c r="B37" s="35"/>
      <c r="C37" s="35"/>
      <c r="D37" s="35"/>
      <c r="E37" s="35"/>
      <c r="F37" s="35"/>
      <c r="G37" s="35"/>
      <c r="H37" s="36"/>
      <c r="I37" s="36"/>
      <c r="J37" s="36"/>
      <c r="K37" s="36"/>
      <c r="L37" s="36"/>
      <c r="M37" s="36"/>
      <c r="N37" s="36"/>
    </row>
    <row r="38" spans="1:21" ht="13.5" thickTop="1" x14ac:dyDescent="0.2">
      <c r="A38" s="6" t="s">
        <v>11</v>
      </c>
      <c r="B38" s="6"/>
      <c r="C38" s="6"/>
      <c r="D38" s="6"/>
      <c r="E38" s="6"/>
      <c r="F38" s="6"/>
      <c r="G38" s="6"/>
      <c r="H38" s="33">
        <f t="shared" ref="H38:M38" si="8">SUM(H30,H36)</f>
        <v>9627.2855704363828</v>
      </c>
      <c r="I38" s="33">
        <f t="shared" si="8"/>
        <v>9675.6057066393296</v>
      </c>
      <c r="J38" s="33">
        <f t="shared" si="8"/>
        <v>9725.5064624765582</v>
      </c>
      <c r="K38" s="33">
        <f t="shared" si="8"/>
        <v>10144.539546496173</v>
      </c>
      <c r="L38" s="33">
        <f t="shared" si="8"/>
        <v>10197.758358984956</v>
      </c>
      <c r="M38" s="33">
        <f t="shared" si="8"/>
        <v>49370.695645033404</v>
      </c>
      <c r="N38" s="33">
        <f>AVERAGE(H38:L38)</f>
        <v>9874.1391290066786</v>
      </c>
      <c r="O38" s="53"/>
      <c r="P38" s="27"/>
      <c r="Q38" s="27"/>
      <c r="R38" s="27"/>
      <c r="S38" s="27"/>
      <c r="T38" s="27"/>
      <c r="U38" s="27"/>
    </row>
    <row r="41" spans="1:21" ht="15" x14ac:dyDescent="0.2">
      <c r="A41" s="31" t="s">
        <v>91</v>
      </c>
      <c r="B41" s="32"/>
      <c r="C41" s="32"/>
      <c r="D41" s="32"/>
      <c r="E41" s="32"/>
      <c r="F41" s="32"/>
      <c r="G41" s="32"/>
      <c r="H41" s="32"/>
      <c r="I41" s="32"/>
      <c r="J41" s="32"/>
      <c r="K41" s="32"/>
      <c r="L41" s="32"/>
      <c r="M41" s="32"/>
      <c r="N41" s="32"/>
    </row>
    <row r="42" spans="1:21" x14ac:dyDescent="0.2">
      <c r="B42" s="1" t="s">
        <v>15</v>
      </c>
      <c r="C42" s="1"/>
      <c r="D42" s="1"/>
      <c r="E42" s="1"/>
      <c r="F42" s="1"/>
      <c r="H42" s="1" t="s">
        <v>14</v>
      </c>
      <c r="I42" s="1"/>
      <c r="J42" s="1"/>
      <c r="K42" s="1"/>
      <c r="L42" s="1"/>
      <c r="M42" s="1"/>
      <c r="N42" s="1"/>
    </row>
    <row r="43" spans="1:21" x14ac:dyDescent="0.2">
      <c r="A43" t="s">
        <v>7</v>
      </c>
      <c r="B43" s="3" t="s">
        <v>22</v>
      </c>
      <c r="C43" s="3" t="s">
        <v>23</v>
      </c>
      <c r="D43" s="3" t="s">
        <v>24</v>
      </c>
      <c r="E43" s="3" t="s">
        <v>112</v>
      </c>
      <c r="F43" s="3" t="s">
        <v>113</v>
      </c>
      <c r="H43" s="3" t="s">
        <v>22</v>
      </c>
      <c r="I43" s="3" t="s">
        <v>23</v>
      </c>
      <c r="J43" s="3" t="s">
        <v>24</v>
      </c>
      <c r="K43" s="3" t="s">
        <v>112</v>
      </c>
      <c r="L43" s="3" t="s">
        <v>113</v>
      </c>
      <c r="M43" s="3" t="s">
        <v>11</v>
      </c>
      <c r="N43" s="3" t="s">
        <v>115</v>
      </c>
    </row>
    <row r="44" spans="1:21" x14ac:dyDescent="0.2">
      <c r="A44" t="s">
        <v>88</v>
      </c>
    </row>
    <row r="45" spans="1:21" x14ac:dyDescent="0.2">
      <c r="A45" s="2" t="s">
        <v>165</v>
      </c>
      <c r="B45" s="3">
        <v>8</v>
      </c>
      <c r="C45" s="3">
        <v>8</v>
      </c>
      <c r="D45" s="3">
        <v>8</v>
      </c>
      <c r="E45" s="3">
        <v>8</v>
      </c>
      <c r="F45" s="3">
        <v>8</v>
      </c>
      <c r="G45" s="15"/>
      <c r="H45" s="15">
        <f>'Staff Costs'!R11*(B45/2080)</f>
        <v>794.10244734415573</v>
      </c>
      <c r="I45" s="15">
        <f>'Staff Costs'!S11*(C45/2080)</f>
        <v>820.07455865704651</v>
      </c>
      <c r="J45" s="15">
        <f>'Staff Costs'!T11*(D45/2080)</f>
        <v>846.89618935968679</v>
      </c>
      <c r="K45" s="15">
        <f>'Staff Costs'!U11*(E45/2080)</f>
        <v>874.59512857753498</v>
      </c>
      <c r="L45" s="15">
        <f>'Staff Costs'!V11*(F45/2080)</f>
        <v>903.20007453723838</v>
      </c>
      <c r="M45" s="15">
        <f>SUM(H45:L45)</f>
        <v>4238.8683984756626</v>
      </c>
      <c r="N45" s="15">
        <f>AVERAGE(H45:L45)</f>
        <v>847.7736796951325</v>
      </c>
    </row>
    <row r="46" spans="1:21" x14ac:dyDescent="0.2">
      <c r="A46" s="2" t="s">
        <v>30</v>
      </c>
      <c r="B46" s="3">
        <v>4</v>
      </c>
      <c r="C46" s="3">
        <v>4</v>
      </c>
      <c r="D46" s="3">
        <v>4</v>
      </c>
      <c r="E46" s="3">
        <v>4</v>
      </c>
      <c r="F46" s="3">
        <v>4</v>
      </c>
      <c r="G46" s="15"/>
      <c r="H46" s="15">
        <f>'Staff Costs'!R12*(B46/2080)</f>
        <v>404.81945096331754</v>
      </c>
      <c r="I46" s="15">
        <f>'Staff Costs'!S12*(C46/2080)</f>
        <v>418.05922319630673</v>
      </c>
      <c r="J46" s="15">
        <f>'Staff Costs'!T12*(D46/2080)</f>
        <v>431.73204229613316</v>
      </c>
      <c r="K46" s="15">
        <f>'Staff Costs'!U12*(E46/2080)</f>
        <v>445.85207352956019</v>
      </c>
      <c r="L46" s="15">
        <f>'Staff Costs'!V12*(F46/2080)</f>
        <v>460.43394555724427</v>
      </c>
      <c r="M46" s="15">
        <f>SUM(H46:L46)</f>
        <v>2160.8967355425621</v>
      </c>
      <c r="N46" s="15">
        <f>AVERAGE(H46:L46)</f>
        <v>432.17934710851239</v>
      </c>
    </row>
    <row r="47" spans="1:21" x14ac:dyDescent="0.2">
      <c r="A47" s="2" t="s">
        <v>74</v>
      </c>
      <c r="B47" s="3">
        <v>4</v>
      </c>
      <c r="C47" s="3">
        <v>4</v>
      </c>
      <c r="D47" s="3">
        <v>4</v>
      </c>
      <c r="E47" s="3">
        <v>4</v>
      </c>
      <c r="F47" s="3">
        <v>4</v>
      </c>
      <c r="G47" s="15"/>
      <c r="H47" s="15">
        <f>'Staff Costs'!R14*(B47/2080)</f>
        <v>262.82721754642921</v>
      </c>
      <c r="I47" s="15">
        <f>'Staff Costs'!S14*(C47/2080)</f>
        <v>271.42803705040973</v>
      </c>
      <c r="J47" s="15">
        <f>'Staff Costs'!T14*(D47/2080)</f>
        <v>280.31033558815972</v>
      </c>
      <c r="K47" s="15">
        <f>'Staff Costs'!U14*(E47/2080)</f>
        <v>289.48332590749311</v>
      </c>
      <c r="L47" s="15">
        <f>'Staff Costs'!V14*(F47/2080)</f>
        <v>298.95652231322464</v>
      </c>
      <c r="M47" s="15">
        <f>SUM(H47:L47)</f>
        <v>1403.0054384057164</v>
      </c>
      <c r="N47" s="15">
        <f>AVERAGE(H47:L47)</f>
        <v>280.60108768114327</v>
      </c>
    </row>
    <row r="48" spans="1:21" x14ac:dyDescent="0.2">
      <c r="A48" s="5" t="s">
        <v>8</v>
      </c>
      <c r="B48" s="5"/>
      <c r="C48" s="5"/>
      <c r="D48" s="5"/>
      <c r="E48" s="5"/>
      <c r="F48" s="5"/>
      <c r="G48" s="5"/>
      <c r="H48" s="34">
        <f>SUM(H45:H47)</f>
        <v>1461.7491158539026</v>
      </c>
      <c r="I48" s="34">
        <f t="shared" ref="I48:M48" si="9">SUM(I45:I47)</f>
        <v>1509.561818903763</v>
      </c>
      <c r="J48" s="34">
        <f t="shared" si="9"/>
        <v>1558.9385672439796</v>
      </c>
      <c r="K48" s="34">
        <f t="shared" si="9"/>
        <v>1609.9305280145882</v>
      </c>
      <c r="L48" s="34">
        <f t="shared" si="9"/>
        <v>1662.5905424077073</v>
      </c>
      <c r="M48" s="34">
        <f t="shared" si="9"/>
        <v>7802.7705724239413</v>
      </c>
      <c r="N48" s="34">
        <f>AVERAGE(H48:L48)</f>
        <v>1560.554114484788</v>
      </c>
    </row>
    <row r="49" spans="1:14" ht="13.5" thickBot="1" x14ac:dyDescent="0.25"/>
    <row r="50" spans="1:14" ht="13.5" thickTop="1" x14ac:dyDescent="0.2">
      <c r="A50" s="6" t="s">
        <v>11</v>
      </c>
      <c r="B50" s="6"/>
      <c r="C50" s="6"/>
      <c r="D50" s="6"/>
      <c r="E50" s="6"/>
      <c r="F50" s="6"/>
      <c r="G50" s="6"/>
      <c r="H50" s="33">
        <f>H48</f>
        <v>1461.7491158539026</v>
      </c>
      <c r="I50" s="33">
        <f t="shared" ref="I50:M50" si="10">I48</f>
        <v>1509.561818903763</v>
      </c>
      <c r="J50" s="33">
        <f t="shared" si="10"/>
        <v>1558.9385672439796</v>
      </c>
      <c r="K50" s="33">
        <f t="shared" si="10"/>
        <v>1609.9305280145882</v>
      </c>
      <c r="L50" s="33">
        <f t="shared" si="10"/>
        <v>1662.5905424077073</v>
      </c>
      <c r="M50" s="33">
        <f t="shared" si="10"/>
        <v>7802.7705724239413</v>
      </c>
      <c r="N50" s="33">
        <f>AVERAGE(H50:L50)</f>
        <v>1560.554114484788</v>
      </c>
    </row>
  </sheetData>
  <pageMargins left="0.7" right="0.7" top="1.34375" bottom="0.75" header="0.3" footer="0.3"/>
  <pageSetup paperSize="5" orientation="landscape" horizontalDpi="1200" verticalDpi="1200" r:id="rId1"/>
  <headerFooter>
    <oddHeader>&amp;L&amp;G&amp;C&amp;14Building Systems Standards Cost Benefit Analysis&amp;R&amp;9&amp;D</oddHeader>
    <oddFooter>&amp;L&amp;9Dept. of Education and Early Development&amp;C&amp;9&amp;A&amp;R&amp;9Page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04E64-9C18-468A-8645-348895801C48}">
  <sheetPr>
    <pageSetUpPr fitToPage="1"/>
  </sheetPr>
  <dimension ref="A1:L59"/>
  <sheetViews>
    <sheetView view="pageLayout" topLeftCell="A21" zoomScaleNormal="100" workbookViewId="0">
      <selection activeCell="M15" sqref="M15"/>
    </sheetView>
  </sheetViews>
  <sheetFormatPr defaultRowHeight="12.75" x14ac:dyDescent="0.2"/>
  <cols>
    <col min="1" max="1" width="41.5703125" customWidth="1"/>
    <col min="2" max="5" width="12.42578125" customWidth="1"/>
    <col min="6" max="6" width="2.28515625" customWidth="1"/>
    <col min="7" max="7" width="41.5703125" customWidth="1"/>
    <col min="8" max="11" width="12.42578125" customWidth="1"/>
  </cols>
  <sheetData>
    <row r="1" spans="1:11" ht="18" x14ac:dyDescent="0.25">
      <c r="A1" s="11" t="s">
        <v>103</v>
      </c>
      <c r="B1" s="11"/>
      <c r="C1" s="11"/>
      <c r="D1" s="11"/>
      <c r="E1" s="11"/>
      <c r="G1" s="11" t="s">
        <v>116</v>
      </c>
      <c r="H1" s="11"/>
      <c r="I1" s="11"/>
      <c r="J1" s="11"/>
      <c r="K1" s="11"/>
    </row>
    <row r="3" spans="1:11" ht="14.25" x14ac:dyDescent="0.2">
      <c r="A3" s="49" t="s">
        <v>111</v>
      </c>
      <c r="B3" s="49"/>
      <c r="C3" s="49"/>
      <c r="D3" s="49"/>
      <c r="E3" s="49"/>
      <c r="G3" s="49" t="s">
        <v>118</v>
      </c>
      <c r="H3" s="49"/>
      <c r="I3" s="49"/>
      <c r="J3" s="49"/>
      <c r="K3" s="49"/>
    </row>
    <row r="4" spans="1:11" x14ac:dyDescent="0.2">
      <c r="B4" s="3" t="s">
        <v>104</v>
      </c>
      <c r="C4" s="3" t="s">
        <v>105</v>
      </c>
      <c r="D4" s="3" t="s">
        <v>106</v>
      </c>
      <c r="E4" s="3" t="s">
        <v>107</v>
      </c>
      <c r="H4" s="3" t="s">
        <v>104</v>
      </c>
      <c r="I4" s="3" t="s">
        <v>105</v>
      </c>
      <c r="J4" s="3" t="s">
        <v>106</v>
      </c>
      <c r="K4" s="3" t="s">
        <v>107</v>
      </c>
    </row>
    <row r="5" spans="1:11" x14ac:dyDescent="0.2">
      <c r="A5" s="4" t="s">
        <v>3</v>
      </c>
      <c r="B5" s="38">
        <f>B29</f>
        <v>51217.381061372791</v>
      </c>
      <c r="C5" s="38">
        <f t="shared" ref="C5:E5" si="0">C29</f>
        <v>53217.381061372791</v>
      </c>
      <c r="D5" s="38">
        <f t="shared" si="0"/>
        <v>62726.23546231143</v>
      </c>
      <c r="E5" s="38">
        <f t="shared" si="0"/>
        <v>64726.23546231143</v>
      </c>
      <c r="G5" s="4" t="s">
        <v>18</v>
      </c>
      <c r="H5" s="38">
        <f>H29</f>
        <v>4306.7607261234325</v>
      </c>
      <c r="I5" s="38">
        <f t="shared" ref="I5:K5" si="1">I29</f>
        <v>4390.7607261234325</v>
      </c>
      <c r="J5" s="38">
        <f t="shared" si="1"/>
        <v>6025.8405453445775</v>
      </c>
      <c r="K5" s="38">
        <f t="shared" si="1"/>
        <v>6109.8405453445775</v>
      </c>
    </row>
    <row r="6" spans="1:11" x14ac:dyDescent="0.2">
      <c r="A6" s="7" t="s">
        <v>5</v>
      </c>
      <c r="B6" s="38">
        <f>B47</f>
        <v>112375.81346153846</v>
      </c>
      <c r="C6" s="38">
        <f t="shared" ref="C6:E6" si="2">C47</f>
        <v>123625.81346153846</v>
      </c>
      <c r="D6" s="38">
        <f t="shared" si="2"/>
        <v>140125.81346153846</v>
      </c>
      <c r="E6" s="38">
        <f t="shared" si="2"/>
        <v>155125.81346153846</v>
      </c>
      <c r="G6" s="7" t="s">
        <v>117</v>
      </c>
      <c r="H6" s="38">
        <f>H47</f>
        <v>9874.1391290066804</v>
      </c>
      <c r="I6" s="38">
        <f t="shared" ref="I6:K6" si="3">I47</f>
        <v>10945.13912900668</v>
      </c>
      <c r="J6" s="38">
        <f t="shared" si="3"/>
        <v>13822.63912900668</v>
      </c>
      <c r="K6" s="38">
        <f t="shared" si="3"/>
        <v>15429.13912900668</v>
      </c>
    </row>
    <row r="7" spans="1:11" x14ac:dyDescent="0.2">
      <c r="A7" s="32" t="s">
        <v>87</v>
      </c>
      <c r="B7" s="38">
        <f>B56</f>
        <v>6960.2556562254895</v>
      </c>
      <c r="C7" s="38">
        <f t="shared" ref="C7:E7" si="4">C56</f>
        <v>6960.2556562254895</v>
      </c>
      <c r="D7" s="38">
        <f t="shared" si="4"/>
        <v>6960.2556562254895</v>
      </c>
      <c r="E7" s="38">
        <f t="shared" si="4"/>
        <v>6960.2556562254895</v>
      </c>
      <c r="G7" s="32" t="s">
        <v>91</v>
      </c>
      <c r="H7" s="38">
        <f>H56</f>
        <v>1560.554114484788</v>
      </c>
      <c r="I7" s="38">
        <f t="shared" ref="I7:K7" si="5">I56</f>
        <v>1560.554114484788</v>
      </c>
      <c r="J7" s="38">
        <f t="shared" si="5"/>
        <v>1560.554114484788</v>
      </c>
      <c r="K7" s="38">
        <f t="shared" si="5"/>
        <v>1560.554114484788</v>
      </c>
    </row>
    <row r="9" spans="1:11" ht="14.25" x14ac:dyDescent="0.2">
      <c r="A9" s="49" t="s">
        <v>167</v>
      </c>
      <c r="B9" s="49"/>
      <c r="C9" s="49"/>
      <c r="D9" s="49"/>
      <c r="E9" s="49"/>
      <c r="G9" s="49" t="s">
        <v>167</v>
      </c>
      <c r="H9" s="49"/>
      <c r="I9" s="49"/>
      <c r="J9" s="49"/>
      <c r="K9" s="49"/>
    </row>
    <row r="10" spans="1:11" x14ac:dyDescent="0.2">
      <c r="B10" s="3" t="s">
        <v>104</v>
      </c>
      <c r="C10" s="3" t="s">
        <v>105</v>
      </c>
      <c r="D10" s="3" t="s">
        <v>106</v>
      </c>
      <c r="E10" s="3" t="s">
        <v>107</v>
      </c>
      <c r="H10" s="3" t="s">
        <v>104</v>
      </c>
      <c r="I10" s="3" t="s">
        <v>105</v>
      </c>
      <c r="J10" s="3" t="s">
        <v>106</v>
      </c>
      <c r="K10" s="3" t="s">
        <v>107</v>
      </c>
    </row>
    <row r="11" spans="1:11" x14ac:dyDescent="0.2">
      <c r="A11" t="s">
        <v>108</v>
      </c>
      <c r="B11" s="48">
        <v>450</v>
      </c>
      <c r="C11" s="48">
        <v>450</v>
      </c>
      <c r="D11" s="48">
        <v>600</v>
      </c>
      <c r="E11" s="48">
        <v>600</v>
      </c>
      <c r="G11" t="s">
        <v>120</v>
      </c>
      <c r="H11" s="55">
        <v>40</v>
      </c>
      <c r="I11" s="55">
        <v>40</v>
      </c>
      <c r="J11" s="55">
        <v>60</v>
      </c>
      <c r="K11" s="55">
        <v>60</v>
      </c>
    </row>
    <row r="12" spans="1:11" x14ac:dyDescent="0.2">
      <c r="A12" t="s">
        <v>109</v>
      </c>
      <c r="B12" s="38">
        <v>175</v>
      </c>
      <c r="C12" s="38">
        <v>200</v>
      </c>
      <c r="D12" s="38">
        <v>175</v>
      </c>
      <c r="E12" s="38">
        <v>200</v>
      </c>
      <c r="G12" t="s">
        <v>109</v>
      </c>
      <c r="H12" s="56">
        <v>175</v>
      </c>
      <c r="I12" s="56">
        <v>200</v>
      </c>
      <c r="J12" s="56">
        <v>175</v>
      </c>
      <c r="K12" s="56">
        <v>200</v>
      </c>
    </row>
    <row r="13" spans="1:11" x14ac:dyDescent="0.2">
      <c r="A13" t="s">
        <v>119</v>
      </c>
      <c r="B13" s="54">
        <v>0</v>
      </c>
      <c r="C13" s="54">
        <v>0</v>
      </c>
      <c r="D13" s="54">
        <v>0</v>
      </c>
      <c r="E13" s="54">
        <v>0</v>
      </c>
      <c r="G13" t="s">
        <v>119</v>
      </c>
      <c r="H13" s="57">
        <v>0.05</v>
      </c>
      <c r="I13" s="57">
        <v>0.05</v>
      </c>
      <c r="J13" s="57">
        <v>0.05</v>
      </c>
      <c r="K13" s="57">
        <v>0.05</v>
      </c>
    </row>
    <row r="15" spans="1:11" ht="15" x14ac:dyDescent="0.2">
      <c r="A15" s="9" t="s">
        <v>6</v>
      </c>
      <c r="B15" s="4"/>
      <c r="C15" s="4"/>
      <c r="D15" s="4"/>
      <c r="E15" s="4"/>
      <c r="G15" s="9" t="s">
        <v>19</v>
      </c>
      <c r="H15" s="4"/>
      <c r="I15" s="4"/>
      <c r="J15" s="4"/>
      <c r="K15" s="4"/>
    </row>
    <row r="16" spans="1:11" x14ac:dyDescent="0.2">
      <c r="B16" s="3" t="s">
        <v>104</v>
      </c>
      <c r="C16" s="3" t="s">
        <v>105</v>
      </c>
      <c r="D16" s="3" t="s">
        <v>106</v>
      </c>
      <c r="E16" s="3" t="s">
        <v>107</v>
      </c>
      <c r="H16" s="3" t="s">
        <v>104</v>
      </c>
      <c r="I16" s="3" t="s">
        <v>105</v>
      </c>
      <c r="J16" s="3" t="s">
        <v>106</v>
      </c>
      <c r="K16" s="3" t="s">
        <v>107</v>
      </c>
    </row>
    <row r="17" spans="1:12" x14ac:dyDescent="0.2">
      <c r="A17" t="s">
        <v>7</v>
      </c>
      <c r="G17" t="s">
        <v>7</v>
      </c>
    </row>
    <row r="18" spans="1:12" ht="14.25" x14ac:dyDescent="0.2">
      <c r="A18" t="s">
        <v>73</v>
      </c>
      <c r="G18" t="s">
        <v>73</v>
      </c>
    </row>
    <row r="19" spans="1:12" x14ac:dyDescent="0.2">
      <c r="A19" s="2" t="s">
        <v>165</v>
      </c>
      <c r="B19" s="15">
        <f>'Development Costs'!$G$12</f>
        <v>186.15</v>
      </c>
      <c r="C19" s="15">
        <f>'Development Costs'!$G$12</f>
        <v>186.15</v>
      </c>
      <c r="D19" s="15">
        <f>'Development Costs'!$G$12</f>
        <v>186.15</v>
      </c>
      <c r="E19" s="15">
        <f>'Development Costs'!$G$12</f>
        <v>186.15</v>
      </c>
      <c r="G19" s="2"/>
      <c r="H19" s="3" t="s">
        <v>60</v>
      </c>
      <c r="I19" s="3" t="s">
        <v>60</v>
      </c>
      <c r="J19" s="3" t="s">
        <v>60</v>
      </c>
      <c r="K19" s="3" t="s">
        <v>60</v>
      </c>
    </row>
    <row r="20" spans="1:12" x14ac:dyDescent="0.2">
      <c r="A20" s="2" t="s">
        <v>30</v>
      </c>
      <c r="B20" s="15">
        <f>('Staff Costs'!$P$12*((B$11/4)/2080))+('Staff Costs'!$Q$12*((B$11/4)/2080))</f>
        <v>21700.789437059619</v>
      </c>
      <c r="C20" s="15">
        <f>('Staff Costs'!$P$12*((C$11/4)/2080))+('Staff Costs'!$Q$12*((C$11/4)/2080))</f>
        <v>21700.789437059619</v>
      </c>
      <c r="D20" s="15">
        <f>('Staff Costs'!$P$12*((D$11/4)/2080))+('Staff Costs'!$Q$12*((D$11/4)/2080))</f>
        <v>28934.385916079489</v>
      </c>
      <c r="E20" s="15">
        <f>('Staff Costs'!$P$12*((E$11/4)/2080))+('Staff Costs'!$Q$12*((E$11/4)/2080))</f>
        <v>28934.385916079489</v>
      </c>
      <c r="G20" s="2" t="s">
        <v>30</v>
      </c>
      <c r="H20" s="15">
        <f>((('Staff Costs'!$R12*((H$11/2)/2080))+('Staff Costs'!$S12*((H$11/2)/2080))+('Staff Costs'!$T12*((H$11/2)/2080))+('Staff Costs'!$U12*((H$11/2)/2080))+('Staff Costs'!$V12*(H$11/2)/2080)))/5</f>
        <v>2160.8967355425616</v>
      </c>
      <c r="I20" s="15">
        <f>((('Staff Costs'!$R12*((I$11/2)/2080))+('Staff Costs'!$S12*((I$11/2)/2080))+('Staff Costs'!$T12*((I$11/2)/2080))+('Staff Costs'!$U12*((I$11/2)/2080))+('Staff Costs'!$V12*(I$11/2)/2080)))/5</f>
        <v>2160.8967355425616</v>
      </c>
      <c r="J20" s="15">
        <f>((('Staff Costs'!$R12*((J$11/2)/2080))+('Staff Costs'!$S12*((J$11/2)/2080))+('Staff Costs'!$T12*((J$11/2)/2080))+('Staff Costs'!$U12*((J$11/2)/2080))+('Staff Costs'!$V12*(J$11/2)/2080)))/5</f>
        <v>3241.3451033138431</v>
      </c>
      <c r="K20" s="15">
        <f>((('Staff Costs'!$R12*((K$11/2)/2080))+('Staff Costs'!$S12*((K$11/2)/2080))+('Staff Costs'!$T12*((K$11/2)/2080))+('Staff Costs'!$U12*((K$11/2)/2080))+('Staff Costs'!$V12*(K$11/2)/2080)))/5</f>
        <v>3241.3451033138431</v>
      </c>
      <c r="L20" s="27"/>
    </row>
    <row r="21" spans="1:12" x14ac:dyDescent="0.2">
      <c r="A21" s="2" t="s">
        <v>31</v>
      </c>
      <c r="B21" s="15">
        <f>('Staff Costs'!$P$13*((B$11/4)/2080))+('Staff Costs'!$Q$13*((B$11/4)/2080))</f>
        <v>12825.77376575633</v>
      </c>
      <c r="C21" s="15">
        <f>('Staff Costs'!$P$13*((C$11/4)/2080))+('Staff Costs'!$Q$13*((C$11/4)/2080))</f>
        <v>12825.77376575633</v>
      </c>
      <c r="D21" s="15">
        <f>('Staff Costs'!$P$13*((D$11/4)/2080))+('Staff Costs'!$Q$13*((D$11/4)/2080))</f>
        <v>17101.031687675102</v>
      </c>
      <c r="E21" s="15">
        <f>('Staff Costs'!$P$13*((E$11/4)/2080))+('Staff Costs'!$Q$13*((E$11/4)/2080))</f>
        <v>17101.031687675102</v>
      </c>
      <c r="G21" s="2" t="s">
        <v>31</v>
      </c>
      <c r="H21" s="15">
        <f>((('Staff Costs'!$R13*((H$11/2)/2080))+('Staff Costs'!$S13*((H$11/2)/2080))+('Staff Costs'!$T13*((H$11/2)/2080))+('Staff Costs'!$U13*((H$11/2)/2080))+('Staff Costs'!$V13*(H$11/2)/2080)))/5</f>
        <v>1277.2629028997276</v>
      </c>
      <c r="I21" s="15">
        <f>((('Staff Costs'!$R13*((I$11/2)/2080))+('Staff Costs'!$S13*((I$11/2)/2080))+('Staff Costs'!$T13*((I$11/2)/2080))+('Staff Costs'!$U13*((I$11/2)/2080))+('Staff Costs'!$V13*(I$11/2)/2080)))/5</f>
        <v>1277.2629028997276</v>
      </c>
      <c r="J21" s="15">
        <f>((('Staff Costs'!$R13*((J$11/2)/2080))+('Staff Costs'!$S13*((J$11/2)/2080))+('Staff Costs'!$T13*((J$11/2)/2080))+('Staff Costs'!$U13*((J$11/2)/2080))+('Staff Costs'!$V13*(J$11/2)/2080)))/5</f>
        <v>1915.8943543495911</v>
      </c>
      <c r="K21" s="15">
        <f>((('Staff Costs'!$R13*((K$11/2)/2080))+('Staff Costs'!$S13*((K$11/2)/2080))+('Staff Costs'!$T13*((K$11/2)/2080))+('Staff Costs'!$U13*((K$11/2)/2080))+('Staff Costs'!$V13*(K$11/2)/2080)))/5</f>
        <v>1915.8943543495911</v>
      </c>
    </row>
    <row r="22" spans="1:12" x14ac:dyDescent="0.2">
      <c r="A22" s="2" t="s">
        <v>74</v>
      </c>
      <c r="B22" s="28">
        <f>'Development Costs'!$G$15</f>
        <v>2504.6678585568347</v>
      </c>
      <c r="C22" s="28">
        <f>'Development Costs'!$G$15</f>
        <v>2504.6678585568347</v>
      </c>
      <c r="D22" s="28">
        <f>'Development Costs'!$G$15</f>
        <v>2504.6678585568347</v>
      </c>
      <c r="E22" s="28">
        <f>'Development Costs'!$G$15</f>
        <v>2504.6678585568347</v>
      </c>
      <c r="G22" s="2" t="s">
        <v>74</v>
      </c>
      <c r="H22" s="15">
        <f>'Update Costs'!$N$15</f>
        <v>280.60108768114327</v>
      </c>
      <c r="I22" s="15">
        <f>'Update Costs'!$N$15</f>
        <v>280.60108768114327</v>
      </c>
      <c r="J22" s="15">
        <f>'Update Costs'!$N$15</f>
        <v>280.60108768114327</v>
      </c>
      <c r="K22" s="15">
        <f>'Update Costs'!$N$15</f>
        <v>280.60108768114327</v>
      </c>
    </row>
    <row r="23" spans="1:12" x14ac:dyDescent="0.2">
      <c r="A23" s="5" t="s">
        <v>8</v>
      </c>
      <c r="B23" s="34">
        <f>SUM(B19:B22)</f>
        <v>37217.381061372791</v>
      </c>
      <c r="C23" s="34">
        <f t="shared" ref="C23:E23" si="6">SUM(C19:C22)</f>
        <v>37217.381061372791</v>
      </c>
      <c r="D23" s="34">
        <f t="shared" si="6"/>
        <v>48726.23546231143</v>
      </c>
      <c r="E23" s="34">
        <f t="shared" si="6"/>
        <v>48726.23546231143</v>
      </c>
      <c r="G23" s="5" t="s">
        <v>8</v>
      </c>
      <c r="H23" s="34">
        <f>SUM(H20:H22)</f>
        <v>3718.7607261234325</v>
      </c>
      <c r="I23" s="34">
        <f t="shared" ref="I23:K23" si="7">SUM(I20:I22)</f>
        <v>3718.7607261234325</v>
      </c>
      <c r="J23" s="34">
        <f t="shared" si="7"/>
        <v>5437.8405453445775</v>
      </c>
      <c r="K23" s="34">
        <f t="shared" si="7"/>
        <v>5437.8405453445775</v>
      </c>
    </row>
    <row r="25" spans="1:12" x14ac:dyDescent="0.2">
      <c r="A25" s="47" t="s">
        <v>9</v>
      </c>
      <c r="B25" s="47"/>
      <c r="C25" s="47"/>
      <c r="D25" s="47"/>
      <c r="E25" s="47"/>
      <c r="F25" s="47"/>
      <c r="G25" s="47" t="s">
        <v>9</v>
      </c>
    </row>
    <row r="26" spans="1:12" x14ac:dyDescent="0.2">
      <c r="A26" s="2" t="s">
        <v>10</v>
      </c>
      <c r="B26" s="15">
        <f>SUM('Development Costs'!$B$19:$C$19)*'Cost Scenarios'!B12</f>
        <v>14000</v>
      </c>
      <c r="C26" s="15">
        <f>SUM('Development Costs'!$B$19:$C$19)*'Cost Scenarios'!C12</f>
        <v>16000</v>
      </c>
      <c r="D26" s="15">
        <f>SUM('Development Costs'!$B$19:$C$19)*'Cost Scenarios'!D12</f>
        <v>14000</v>
      </c>
      <c r="E26" s="15">
        <f>SUM('Development Costs'!$B$19:$C$19)*'Cost Scenarios'!E12</f>
        <v>16000</v>
      </c>
      <c r="G26" s="2" t="s">
        <v>10</v>
      </c>
      <c r="H26" s="15">
        <f>(16*(H12*(1+H13)))*0.2</f>
        <v>588</v>
      </c>
      <c r="I26" s="15">
        <f>(16*(I12*(1+I13)))*0.2</f>
        <v>672</v>
      </c>
      <c r="J26" s="15">
        <f>(16*(J12*(1+J13)))*0.2</f>
        <v>588</v>
      </c>
      <c r="K26" s="15">
        <f>(16*(K12*(1+K13)))*0.2</f>
        <v>672</v>
      </c>
    </row>
    <row r="27" spans="1:12" x14ac:dyDescent="0.2">
      <c r="A27" s="5" t="s">
        <v>8</v>
      </c>
      <c r="B27" s="34">
        <f>B26</f>
        <v>14000</v>
      </c>
      <c r="C27" s="34">
        <f>C26</f>
        <v>16000</v>
      </c>
      <c r="D27" s="34">
        <f>D26</f>
        <v>14000</v>
      </c>
      <c r="E27" s="34">
        <f>E26</f>
        <v>16000</v>
      </c>
      <c r="G27" s="5" t="s">
        <v>8</v>
      </c>
      <c r="H27" s="34">
        <f>H26</f>
        <v>588</v>
      </c>
      <c r="I27" s="34">
        <f>I26</f>
        <v>672</v>
      </c>
      <c r="J27" s="34">
        <f>J26</f>
        <v>588</v>
      </c>
      <c r="K27" s="34">
        <f>K26</f>
        <v>672</v>
      </c>
    </row>
    <row r="28" spans="1:12" ht="13.5" thickBot="1" x14ac:dyDescent="0.25"/>
    <row r="29" spans="1:12" ht="13.5" thickTop="1" x14ac:dyDescent="0.2">
      <c r="A29" s="6" t="s">
        <v>11</v>
      </c>
      <c r="B29" s="33">
        <f>SUM(B23,B27)</f>
        <v>51217.381061372791</v>
      </c>
      <c r="C29" s="33">
        <f>SUM(C23,C27)</f>
        <v>53217.381061372791</v>
      </c>
      <c r="D29" s="33">
        <f>SUM(D23,D27)</f>
        <v>62726.23546231143</v>
      </c>
      <c r="E29" s="33">
        <f>SUM(E23,E27)</f>
        <v>64726.23546231143</v>
      </c>
      <c r="G29" s="6" t="s">
        <v>11</v>
      </c>
      <c r="H29" s="33">
        <f>SUM(H23,H27)</f>
        <v>4306.7607261234325</v>
      </c>
      <c r="I29" s="33">
        <f>SUM(I23,I27)</f>
        <v>4390.7607261234325</v>
      </c>
      <c r="J29" s="33">
        <f>SUM(J23,J27)</f>
        <v>6025.8405453445775</v>
      </c>
      <c r="K29" s="33">
        <f>SUM(K23,K27)</f>
        <v>6109.8405453445775</v>
      </c>
    </row>
    <row r="31" spans="1:12" ht="15" x14ac:dyDescent="0.2">
      <c r="A31" s="10" t="s">
        <v>16</v>
      </c>
      <c r="B31" s="7"/>
      <c r="C31" s="7"/>
      <c r="D31" s="7"/>
      <c r="E31" s="7"/>
      <c r="G31" s="10" t="s">
        <v>121</v>
      </c>
      <c r="H31" s="7"/>
      <c r="I31" s="7"/>
      <c r="J31" s="7"/>
      <c r="K31" s="7"/>
    </row>
    <row r="32" spans="1:12" x14ac:dyDescent="0.2">
      <c r="B32" s="3" t="s">
        <v>104</v>
      </c>
      <c r="C32" s="3" t="s">
        <v>105</v>
      </c>
      <c r="D32" s="3" t="s">
        <v>106</v>
      </c>
      <c r="E32" s="3" t="s">
        <v>107</v>
      </c>
      <c r="H32" s="3" t="s">
        <v>104</v>
      </c>
      <c r="I32" s="3" t="s">
        <v>105</v>
      </c>
      <c r="J32" s="3" t="s">
        <v>106</v>
      </c>
      <c r="K32" s="3" t="s">
        <v>107</v>
      </c>
    </row>
    <row r="33" spans="1:12" x14ac:dyDescent="0.2">
      <c r="A33" t="s">
        <v>7</v>
      </c>
      <c r="G33" t="s">
        <v>7</v>
      </c>
    </row>
    <row r="34" spans="1:12" x14ac:dyDescent="0.2">
      <c r="A34" t="s">
        <v>0</v>
      </c>
      <c r="G34" t="s">
        <v>0</v>
      </c>
    </row>
    <row r="35" spans="1:12" x14ac:dyDescent="0.2">
      <c r="A35" s="2" t="s">
        <v>165</v>
      </c>
      <c r="B35" s="15">
        <f>'Development Costs'!$G$12</f>
        <v>186.15</v>
      </c>
      <c r="C35" s="15">
        <f>'Development Costs'!$G$12</f>
        <v>186.15</v>
      </c>
      <c r="D35" s="15">
        <f>'Development Costs'!$G$12</f>
        <v>186.15</v>
      </c>
      <c r="E35" s="15">
        <f>'Development Costs'!$G$12</f>
        <v>186.15</v>
      </c>
      <c r="G35" s="2"/>
    </row>
    <row r="36" spans="1:12" x14ac:dyDescent="0.2">
      <c r="A36" s="2" t="s">
        <v>30</v>
      </c>
      <c r="B36" s="15">
        <f>'Development Costs'!$G$29</f>
        <v>18979.23076923077</v>
      </c>
      <c r="C36" s="15">
        <f>'Development Costs'!$G$29</f>
        <v>18979.23076923077</v>
      </c>
      <c r="D36" s="15">
        <f>'Development Costs'!$G$29</f>
        <v>18979.23076923077</v>
      </c>
      <c r="E36" s="15">
        <f>'Development Costs'!$G$29</f>
        <v>18979.23076923077</v>
      </c>
      <c r="G36" s="2" t="s">
        <v>30</v>
      </c>
      <c r="H36" s="15">
        <f>((('Staff Costs'!$R12*((12)/2080))+('Staff Costs'!$S12*((12)/2080))+('Staff Costs'!$T12*((12)/2080))+('Staff Costs'!$U12*((12)/2080))+('Staff Costs'!$V12*(12)/2080)))/5</f>
        <v>1296.5380413255373</v>
      </c>
      <c r="I36" s="15">
        <f>((('Staff Costs'!$R12*((12)/2080))+('Staff Costs'!$S12*((12)/2080))+('Staff Costs'!$T12*((12)/2080))+('Staff Costs'!$U12*((12)/2080))+('Staff Costs'!$V12*(12)/2080)))/5</f>
        <v>1296.5380413255373</v>
      </c>
      <c r="J36" s="15">
        <f>((('Staff Costs'!$R12*((12)/2080))+('Staff Costs'!$S12*((12)/2080))+('Staff Costs'!$T12*((12)/2080))+('Staff Costs'!$U12*((12)/2080))+('Staff Costs'!$V12*(12)/2080)))/5</f>
        <v>1296.5380413255373</v>
      </c>
      <c r="K36" s="15">
        <f>((('Staff Costs'!$R12*((12)/2080))+('Staff Costs'!$S12*((12)/2080))+('Staff Costs'!$T12*((12)/2080))+('Staff Costs'!$U12*((12)/2080))+('Staff Costs'!$V12*(12)/2080)))/5</f>
        <v>1296.5380413255373</v>
      </c>
    </row>
    <row r="37" spans="1:12" x14ac:dyDescent="0.2">
      <c r="A37" s="2" t="s">
        <v>74</v>
      </c>
      <c r="B37" s="15">
        <f>'Development Costs'!$G$30</f>
        <v>3080.4326923076924</v>
      </c>
      <c r="C37" s="15">
        <f>'Development Costs'!$G$30</f>
        <v>3080.4326923076924</v>
      </c>
      <c r="D37" s="15">
        <f>'Development Costs'!$G$30</f>
        <v>3080.4326923076924</v>
      </c>
      <c r="E37" s="15">
        <f>'Development Costs'!$G$30</f>
        <v>3080.4326923076924</v>
      </c>
      <c r="G37" s="2" t="s">
        <v>74</v>
      </c>
      <c r="H37" s="15">
        <f>((('Staff Costs'!$R14*(4/2080))+('Staff Costs'!$S14*(4/2080))+('Staff Costs'!$T14*(4/2080))+('Staff Costs'!$U14*(4/2080))+('Staff Costs'!$V14*4/2080)))/5</f>
        <v>280.60108768114327</v>
      </c>
      <c r="I37" s="15">
        <f>((('Staff Costs'!$R14*(4/2080))+('Staff Costs'!$S14*(4/2080))+('Staff Costs'!$T14*(4/2080))+('Staff Costs'!$U14*(4/2080))+('Staff Costs'!$V14*4/2080)))/5</f>
        <v>280.60108768114327</v>
      </c>
      <c r="J37" s="15">
        <f>((('Staff Costs'!$R14*(4/2080))+('Staff Costs'!$S14*(4/2080))+('Staff Costs'!$T14*(4/2080))+('Staff Costs'!$U14*(4/2080))+('Staff Costs'!$V14*4/2080)))/5</f>
        <v>280.60108768114327</v>
      </c>
      <c r="K37" s="15">
        <f>((('Staff Costs'!$R14*(4/2080))+('Staff Costs'!$S14*(4/2080))+('Staff Costs'!$T14*(4/2080))+('Staff Costs'!$U14*(4/2080))+('Staff Costs'!$V14*4/2080)))/5</f>
        <v>280.60108768114327</v>
      </c>
    </row>
    <row r="38" spans="1:12" x14ac:dyDescent="0.2">
      <c r="A38" s="5" t="s">
        <v>8</v>
      </c>
      <c r="B38" s="34">
        <f>SUM(B35:B37)</f>
        <v>22245.813461538462</v>
      </c>
      <c r="C38" s="34">
        <f t="shared" ref="C38:E38" si="8">SUM(C35:C37)</f>
        <v>22245.813461538462</v>
      </c>
      <c r="D38" s="34">
        <f t="shared" si="8"/>
        <v>22245.813461538462</v>
      </c>
      <c r="E38" s="34">
        <f t="shared" si="8"/>
        <v>22245.813461538462</v>
      </c>
      <c r="G38" s="5" t="s">
        <v>8</v>
      </c>
      <c r="H38" s="34">
        <f>SUM(H36:H37)</f>
        <v>1577.1391290066806</v>
      </c>
      <c r="I38" s="34">
        <f t="shared" ref="I38:K38" si="9">SUM(I36:I37)</f>
        <v>1577.1391290066806</v>
      </c>
      <c r="J38" s="34">
        <f t="shared" si="9"/>
        <v>1577.1391290066806</v>
      </c>
      <c r="K38" s="34">
        <f t="shared" si="9"/>
        <v>1577.1391290066806</v>
      </c>
    </row>
    <row r="40" spans="1:12" x14ac:dyDescent="0.2">
      <c r="A40" t="s">
        <v>9</v>
      </c>
      <c r="G40" t="s">
        <v>9</v>
      </c>
    </row>
    <row r="41" spans="1:12" x14ac:dyDescent="0.2">
      <c r="A41" s="62" t="s">
        <v>164</v>
      </c>
      <c r="B41" s="28">
        <f>(SUM(B11, 40)*0.05)*200</f>
        <v>4900</v>
      </c>
      <c r="C41" s="28">
        <f t="shared" ref="C41:E41" si="10">(SUM(C11, 40)*0.05)*200</f>
        <v>4900</v>
      </c>
      <c r="D41" s="28">
        <f t="shared" si="10"/>
        <v>6400</v>
      </c>
      <c r="E41" s="28">
        <f t="shared" si="10"/>
        <v>6400</v>
      </c>
      <c r="F41" s="47"/>
      <c r="G41" s="62" t="s">
        <v>164</v>
      </c>
      <c r="H41" s="15">
        <f>(H11*0.05)*200</f>
        <v>400</v>
      </c>
      <c r="I41" s="15">
        <f t="shared" ref="I41:K41" si="11">(I11*0.05)*200</f>
        <v>400</v>
      </c>
      <c r="J41" s="15">
        <f t="shared" si="11"/>
        <v>600</v>
      </c>
      <c r="K41" s="15">
        <f t="shared" si="11"/>
        <v>600</v>
      </c>
    </row>
    <row r="42" spans="1:12" x14ac:dyDescent="0.2">
      <c r="A42" s="62" t="s">
        <v>163</v>
      </c>
      <c r="B42" s="28">
        <f>B11*B12</f>
        <v>78750</v>
      </c>
      <c r="C42" s="28">
        <f>C11*C12</f>
        <v>90000</v>
      </c>
      <c r="D42" s="28">
        <f>D11*D12</f>
        <v>105000</v>
      </c>
      <c r="E42" s="28">
        <f>E11*E12</f>
        <v>120000</v>
      </c>
      <c r="F42" s="47"/>
      <c r="G42" s="62" t="s">
        <v>163</v>
      </c>
      <c r="H42" s="15">
        <f>(((H11*(H12*(1+H13)))*3)+((H11*((H12*(1+H13))*(1+H13)))*2))/5</f>
        <v>7497</v>
      </c>
      <c r="I42" s="15">
        <f>(((I11*(I12*(1+I13)))*3)+((I11*((I12*(1+I13))*(1+I13)))*2))/5</f>
        <v>8568</v>
      </c>
      <c r="J42" s="15">
        <f>(((J11*(J12*(1+J13)))*3)+((J11*((J12*(1+J13))*(1+J13)))*2))/5</f>
        <v>11245.5</v>
      </c>
      <c r="K42" s="15">
        <f>(((K11*(K12*(1+K13)))*3)+((K11*((K12*(1+K13))*(1+K13)))*2))/5</f>
        <v>12852</v>
      </c>
      <c r="L42" s="15"/>
    </row>
    <row r="43" spans="1:12" x14ac:dyDescent="0.2">
      <c r="A43" s="62" t="s">
        <v>162</v>
      </c>
      <c r="B43" s="28">
        <f>'Development Costs'!$E$36</f>
        <v>4000</v>
      </c>
      <c r="C43" s="28">
        <f>'Development Costs'!$E$36</f>
        <v>4000</v>
      </c>
      <c r="D43" s="28">
        <f>'Development Costs'!$E$36</f>
        <v>4000</v>
      </c>
      <c r="E43" s="28">
        <f>'Development Costs'!$E$36</f>
        <v>4000</v>
      </c>
      <c r="F43" s="47"/>
      <c r="G43" s="62" t="s">
        <v>162</v>
      </c>
      <c r="H43" s="15">
        <f>'Update Costs'!$H$35</f>
        <v>400</v>
      </c>
      <c r="I43" s="15">
        <f>'Update Costs'!$H$35</f>
        <v>400</v>
      </c>
      <c r="J43" s="15">
        <f>'Update Costs'!$H$35</f>
        <v>400</v>
      </c>
      <c r="K43" s="15">
        <f>'Update Costs'!$H$35</f>
        <v>400</v>
      </c>
      <c r="L43" s="15"/>
    </row>
    <row r="44" spans="1:12" ht="14.25" x14ac:dyDescent="0.2">
      <c r="A44" s="2" t="s">
        <v>110</v>
      </c>
      <c r="B44" s="15">
        <f>'Development Costs'!$G$37</f>
        <v>2480</v>
      </c>
      <c r="C44" s="15">
        <f>'Development Costs'!$G$37</f>
        <v>2480</v>
      </c>
      <c r="D44" s="15">
        <f>'Development Costs'!$G$37</f>
        <v>2480</v>
      </c>
      <c r="E44" s="15">
        <f>'Development Costs'!$G$37</f>
        <v>2480</v>
      </c>
      <c r="G44" s="2"/>
    </row>
    <row r="45" spans="1:12" x14ac:dyDescent="0.2">
      <c r="A45" s="66" t="s">
        <v>8</v>
      </c>
      <c r="B45" s="67">
        <f>SUM(B41:B44)</f>
        <v>90130</v>
      </c>
      <c r="C45" s="67">
        <f t="shared" ref="C45:E45" si="12">SUM(C41:C44)</f>
        <v>101380</v>
      </c>
      <c r="D45" s="67">
        <f t="shared" si="12"/>
        <v>117880</v>
      </c>
      <c r="E45" s="67">
        <f t="shared" si="12"/>
        <v>132880</v>
      </c>
      <c r="F45" s="47"/>
      <c r="G45" s="66" t="s">
        <v>8</v>
      </c>
      <c r="H45" s="67">
        <f>SUM(H41:H43)</f>
        <v>8297</v>
      </c>
      <c r="I45" s="67">
        <f t="shared" ref="I45:K45" si="13">SUM(I41:I43)</f>
        <v>9368</v>
      </c>
      <c r="J45" s="67">
        <f t="shared" si="13"/>
        <v>12245.5</v>
      </c>
      <c r="K45" s="67">
        <f t="shared" si="13"/>
        <v>13852</v>
      </c>
    </row>
    <row r="46" spans="1:12" ht="13.5" thickBot="1" x14ac:dyDescent="0.25"/>
    <row r="47" spans="1:12" ht="13.5" thickTop="1" x14ac:dyDescent="0.2">
      <c r="A47" s="6" t="s">
        <v>11</v>
      </c>
      <c r="B47" s="33">
        <f>SUM(B38,B45)</f>
        <v>112375.81346153846</v>
      </c>
      <c r="C47" s="33">
        <f>SUM(C38,C45)</f>
        <v>123625.81346153846</v>
      </c>
      <c r="D47" s="33">
        <f>SUM(D38,D45)</f>
        <v>140125.81346153846</v>
      </c>
      <c r="E47" s="33">
        <f>SUM(E38,E45)</f>
        <v>155125.81346153846</v>
      </c>
      <c r="G47" s="6" t="s">
        <v>11</v>
      </c>
      <c r="H47" s="33">
        <f>SUM(H38,H45)</f>
        <v>9874.1391290066804</v>
      </c>
      <c r="I47" s="33">
        <f>SUM(I38,I45)</f>
        <v>10945.13912900668</v>
      </c>
      <c r="J47" s="33">
        <f>SUM(J38,J45)</f>
        <v>13822.63912900668</v>
      </c>
      <c r="K47" s="33">
        <f>SUM(K38,K45)</f>
        <v>15429.13912900668</v>
      </c>
    </row>
    <row r="49" spans="1:11" ht="15" x14ac:dyDescent="0.2">
      <c r="A49" s="31" t="s">
        <v>87</v>
      </c>
      <c r="B49" s="32"/>
      <c r="C49" s="32"/>
      <c r="D49" s="32"/>
      <c r="E49" s="32"/>
      <c r="G49" s="31" t="s">
        <v>122</v>
      </c>
      <c r="H49" s="32"/>
      <c r="I49" s="32"/>
      <c r="J49" s="32"/>
      <c r="K49" s="32"/>
    </row>
    <row r="50" spans="1:11" x14ac:dyDescent="0.2">
      <c r="B50" s="3" t="s">
        <v>104</v>
      </c>
      <c r="C50" s="3" t="s">
        <v>105</v>
      </c>
      <c r="D50" s="3" t="s">
        <v>106</v>
      </c>
      <c r="E50" s="3" t="s">
        <v>107</v>
      </c>
      <c r="H50" s="3" t="s">
        <v>104</v>
      </c>
      <c r="I50" s="3" t="s">
        <v>105</v>
      </c>
      <c r="J50" s="3" t="s">
        <v>106</v>
      </c>
      <c r="K50" s="3" t="s">
        <v>107</v>
      </c>
    </row>
    <row r="51" spans="1:11" x14ac:dyDescent="0.2">
      <c r="A51" t="s">
        <v>7</v>
      </c>
      <c r="G51" t="s">
        <v>7</v>
      </c>
    </row>
    <row r="52" spans="1:11" x14ac:dyDescent="0.2">
      <c r="A52" t="s">
        <v>88</v>
      </c>
      <c r="B52" s="15">
        <f>'Development Costs'!$G$52</f>
        <v>2830.9018239339284</v>
      </c>
      <c r="C52" s="15">
        <f>'Development Costs'!$G$52</f>
        <v>2830.9018239339284</v>
      </c>
      <c r="D52" s="15">
        <f>'Development Costs'!$G$52</f>
        <v>2830.9018239339284</v>
      </c>
      <c r="E52" s="15">
        <f>'Development Costs'!$G$52</f>
        <v>2830.9018239339284</v>
      </c>
      <c r="G52" t="s">
        <v>88</v>
      </c>
      <c r="H52" s="15">
        <f>'Update Costs'!$N$48</f>
        <v>1560.554114484788</v>
      </c>
      <c r="I52" s="15">
        <f>'Update Costs'!$N$48</f>
        <v>1560.554114484788</v>
      </c>
      <c r="J52" s="15">
        <f>'Update Costs'!$N$48</f>
        <v>1560.554114484788</v>
      </c>
      <c r="K52" s="15">
        <f>'Update Costs'!$N$48</f>
        <v>1560.554114484788</v>
      </c>
    </row>
    <row r="53" spans="1:11" x14ac:dyDescent="0.2">
      <c r="A53" s="24" t="s">
        <v>89</v>
      </c>
      <c r="B53" s="15">
        <f>'Development Costs'!$G$57</f>
        <v>3090.8568578764666</v>
      </c>
      <c r="C53" s="15">
        <f>'Development Costs'!$G$57</f>
        <v>3090.8568578764666</v>
      </c>
      <c r="D53" s="15">
        <f>'Development Costs'!$G$57</f>
        <v>3090.8568578764666</v>
      </c>
      <c r="E53" s="15">
        <f>'Development Costs'!$G$57</f>
        <v>3090.8568578764666</v>
      </c>
    </row>
    <row r="54" spans="1:11" x14ac:dyDescent="0.2">
      <c r="A54" s="35" t="s">
        <v>90</v>
      </c>
      <c r="B54" s="15">
        <f>'Development Costs'!$G$62</f>
        <v>1038.496974415094</v>
      </c>
      <c r="C54" s="15">
        <f>'Development Costs'!$G$62</f>
        <v>1038.496974415094</v>
      </c>
      <c r="D54" s="15">
        <f>'Development Costs'!$G$62</f>
        <v>1038.496974415094</v>
      </c>
      <c r="E54" s="15">
        <f>'Development Costs'!$G$62</f>
        <v>1038.496974415094</v>
      </c>
    </row>
    <row r="55" spans="1:11" ht="13.5" thickBot="1" x14ac:dyDescent="0.25"/>
    <row r="56" spans="1:11" ht="13.5" thickTop="1" x14ac:dyDescent="0.2">
      <c r="A56" s="6" t="s">
        <v>11</v>
      </c>
      <c r="B56" s="33">
        <f>SUM(B52:B54)</f>
        <v>6960.2556562254895</v>
      </c>
      <c r="C56" s="33">
        <f t="shared" ref="C56:E56" si="14">SUM(C52:C54)</f>
        <v>6960.2556562254895</v>
      </c>
      <c r="D56" s="33">
        <f t="shared" si="14"/>
        <v>6960.2556562254895</v>
      </c>
      <c r="E56" s="33">
        <f t="shared" si="14"/>
        <v>6960.2556562254895</v>
      </c>
      <c r="G56" s="6" t="s">
        <v>11</v>
      </c>
      <c r="H56" s="33">
        <f>SUM(H52:H54)</f>
        <v>1560.554114484788</v>
      </c>
      <c r="I56" s="33">
        <f t="shared" ref="I56:K56" si="15">SUM(I52:I54)</f>
        <v>1560.554114484788</v>
      </c>
      <c r="J56" s="33">
        <f t="shared" si="15"/>
        <v>1560.554114484788</v>
      </c>
      <c r="K56" s="33">
        <f t="shared" si="15"/>
        <v>1560.554114484788</v>
      </c>
    </row>
    <row r="59" spans="1:11" ht="33.75" x14ac:dyDescent="0.2">
      <c r="A59" s="63" t="s">
        <v>166</v>
      </c>
      <c r="B59" s="1"/>
      <c r="C59" s="1"/>
      <c r="D59" s="1"/>
    </row>
  </sheetData>
  <pageMargins left="0.7" right="0.7" top="1.1616666666666666" bottom="0.75" header="0.3" footer="0.3"/>
  <pageSetup scale="82" fitToWidth="0" orientation="portrait" horizontalDpi="1200" verticalDpi="1200" r:id="rId1"/>
  <headerFooter>
    <oddHeader>&amp;L&amp;G&amp;C&amp;14Building Systems Standards Cost Benefit Analysis&amp;R&amp;9&amp;D</oddHeader>
    <oddFooter>&amp;L&amp;9Dept. of Education and Early Development&amp;C&amp;9&amp;A&amp;R&amp;9Page &amp;P of &amp;N</oddFooter>
  </headerFooter>
  <colBreaks count="1" manualBreakCount="1">
    <brk id="6"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ADAF0-5D83-4ED1-8917-F02F335BFE2B}">
  <sheetPr>
    <pageSetUpPr fitToPage="1"/>
  </sheetPr>
  <dimension ref="A1:F110"/>
  <sheetViews>
    <sheetView view="pageLayout" zoomScaleNormal="100" workbookViewId="0">
      <selection activeCell="I9" sqref="I9"/>
    </sheetView>
  </sheetViews>
  <sheetFormatPr defaultRowHeight="12.75" x14ac:dyDescent="0.2"/>
  <cols>
    <col min="1" max="1" width="25.42578125" customWidth="1"/>
    <col min="2" max="4" width="17.5703125" customWidth="1"/>
    <col min="5" max="5" width="11.28515625" customWidth="1"/>
    <col min="6" max="6" width="11.140625" customWidth="1"/>
    <col min="17" max="17" width="11.5703125" customWidth="1"/>
  </cols>
  <sheetData>
    <row r="1" spans="1:6" ht="18" x14ac:dyDescent="0.25">
      <c r="A1" s="52" t="s">
        <v>143</v>
      </c>
      <c r="B1" s="52"/>
      <c r="C1" s="52"/>
      <c r="D1" s="52"/>
      <c r="E1" s="52"/>
      <c r="F1" s="52"/>
    </row>
    <row r="2" spans="1:6" ht="15" customHeight="1" x14ac:dyDescent="0.2"/>
    <row r="3" spans="1:6" ht="14.25" x14ac:dyDescent="0.2">
      <c r="A3" s="49" t="s">
        <v>144</v>
      </c>
      <c r="B3" s="49"/>
      <c r="C3" s="49"/>
      <c r="D3" s="49"/>
      <c r="E3" s="49"/>
      <c r="F3" s="49"/>
    </row>
    <row r="4" spans="1:6" x14ac:dyDescent="0.2">
      <c r="A4" s="60" t="s">
        <v>145</v>
      </c>
      <c r="B4" s="24" t="s">
        <v>157</v>
      </c>
    </row>
    <row r="5" spans="1:6" x14ac:dyDescent="0.2">
      <c r="A5" s="60" t="s">
        <v>159</v>
      </c>
      <c r="B5" s="24" t="s">
        <v>160</v>
      </c>
    </row>
    <row r="6" spans="1:6" x14ac:dyDescent="0.2">
      <c r="A6" s="60" t="s">
        <v>161</v>
      </c>
      <c r="B6" s="24">
        <v>8</v>
      </c>
    </row>
    <row r="7" spans="1:6" x14ac:dyDescent="0.2">
      <c r="A7" s="60" t="s">
        <v>146</v>
      </c>
      <c r="B7" s="24" t="s">
        <v>158</v>
      </c>
    </row>
    <row r="8" spans="1:6" x14ac:dyDescent="0.2">
      <c r="A8" s="60" t="s">
        <v>147</v>
      </c>
      <c r="B8" s="61">
        <v>46959</v>
      </c>
    </row>
    <row r="9" spans="1:6" x14ac:dyDescent="0.2">
      <c r="A9" s="60" t="s">
        <v>148</v>
      </c>
      <c r="B9" s="24">
        <v>2015</v>
      </c>
    </row>
    <row r="10" spans="1:6" x14ac:dyDescent="0.2">
      <c r="A10" s="60"/>
    </row>
    <row r="11" spans="1:6" ht="14.25" x14ac:dyDescent="0.2">
      <c r="A11" s="49" t="s">
        <v>149</v>
      </c>
      <c r="B11" s="49"/>
      <c r="C11" s="49"/>
      <c r="D11" s="49"/>
      <c r="E11" s="49"/>
      <c r="F11" s="49"/>
    </row>
    <row r="12" spans="1:6" ht="25.5" x14ac:dyDescent="0.2">
      <c r="B12" s="59" t="s">
        <v>150</v>
      </c>
      <c r="C12" s="58" t="s">
        <v>151</v>
      </c>
      <c r="D12" s="58" t="s">
        <v>142</v>
      </c>
      <c r="E12" s="58" t="s">
        <v>152</v>
      </c>
      <c r="F12" s="58" t="s">
        <v>153</v>
      </c>
    </row>
    <row r="13" spans="1:6" x14ac:dyDescent="0.2">
      <c r="A13" s="4" t="s">
        <v>123</v>
      </c>
      <c r="B13" s="38">
        <f>B56</f>
        <v>0</v>
      </c>
      <c r="C13" s="38">
        <f>C56</f>
        <v>0</v>
      </c>
      <c r="D13" s="38">
        <f>B13-C13</f>
        <v>0</v>
      </c>
      <c r="E13" s="38">
        <f>D13/$B$8</f>
        <v>0</v>
      </c>
      <c r="F13" s="54" t="e">
        <f>D13/B13</f>
        <v>#DIV/0!</v>
      </c>
    </row>
    <row r="14" spans="1:6" x14ac:dyDescent="0.2">
      <c r="A14" s="7" t="s">
        <v>134</v>
      </c>
      <c r="B14" s="38">
        <f>B93</f>
        <v>0</v>
      </c>
      <c r="C14" s="38">
        <f>C93</f>
        <v>0</v>
      </c>
      <c r="D14" s="38">
        <f>B14-C14</f>
        <v>0</v>
      </c>
      <c r="E14" s="38">
        <f>D14/$B$8</f>
        <v>0</v>
      </c>
      <c r="F14" s="54" t="e">
        <f>D14/B14</f>
        <v>#DIV/0!</v>
      </c>
    </row>
    <row r="15" spans="1:6" x14ac:dyDescent="0.2">
      <c r="A15" s="32" t="s">
        <v>138</v>
      </c>
      <c r="B15" s="38">
        <f>B110</f>
        <v>0</v>
      </c>
      <c r="C15" s="38">
        <f>C110</f>
        <v>0</v>
      </c>
      <c r="D15" s="38">
        <f>B15-C15</f>
        <v>0</v>
      </c>
      <c r="E15" s="38">
        <f>D15/$B$8</f>
        <v>0</v>
      </c>
      <c r="F15" s="54" t="e">
        <f>D15/B15</f>
        <v>#DIV/0!</v>
      </c>
    </row>
    <row r="16" spans="1:6" ht="15" customHeight="1" x14ac:dyDescent="0.2"/>
    <row r="17" spans="1:4" ht="15" x14ac:dyDescent="0.2">
      <c r="A17" s="9" t="s">
        <v>123</v>
      </c>
      <c r="B17" s="4"/>
      <c r="C17" s="4"/>
      <c r="D17" s="4"/>
    </row>
    <row r="18" spans="1:4" ht="25.5" x14ac:dyDescent="0.2">
      <c r="A18" s="12" t="s">
        <v>124</v>
      </c>
      <c r="B18" s="58" t="s">
        <v>168</v>
      </c>
      <c r="C18" s="58" t="s">
        <v>154</v>
      </c>
      <c r="D18" s="58" t="s">
        <v>140</v>
      </c>
    </row>
    <row r="19" spans="1:4" x14ac:dyDescent="0.2">
      <c r="A19" t="s">
        <v>125</v>
      </c>
      <c r="B19" s="64">
        <f>SUM(B20:B23)</f>
        <v>0</v>
      </c>
      <c r="C19" s="64">
        <f>SUM(C20:C23)</f>
        <v>0</v>
      </c>
      <c r="D19" s="64">
        <f>B19-C19</f>
        <v>0</v>
      </c>
    </row>
    <row r="20" spans="1:4" x14ac:dyDescent="0.2">
      <c r="A20" s="2" t="s">
        <v>169</v>
      </c>
      <c r="B20" s="15"/>
      <c r="C20" s="15"/>
      <c r="D20" s="65">
        <f>B20-C20</f>
        <v>0</v>
      </c>
    </row>
    <row r="21" spans="1:4" x14ac:dyDescent="0.2">
      <c r="A21" s="2" t="s">
        <v>170</v>
      </c>
      <c r="B21" s="15"/>
      <c r="C21" s="15"/>
      <c r="D21" s="65">
        <f t="shared" ref="D21:D23" si="0">B21-C21</f>
        <v>0</v>
      </c>
    </row>
    <row r="22" spans="1:4" x14ac:dyDescent="0.2">
      <c r="A22" s="2" t="s">
        <v>171</v>
      </c>
      <c r="B22" s="15"/>
      <c r="C22" s="15"/>
      <c r="D22" s="65">
        <f t="shared" si="0"/>
        <v>0</v>
      </c>
    </row>
    <row r="23" spans="1:4" x14ac:dyDescent="0.2">
      <c r="A23" s="2" t="s">
        <v>172</v>
      </c>
      <c r="B23" s="15"/>
      <c r="C23" s="15"/>
      <c r="D23" s="65">
        <f t="shared" si="0"/>
        <v>0</v>
      </c>
    </row>
    <row r="24" spans="1:4" x14ac:dyDescent="0.2">
      <c r="B24" s="15"/>
      <c r="C24" s="15"/>
      <c r="D24" s="15"/>
    </row>
    <row r="25" spans="1:4" x14ac:dyDescent="0.2">
      <c r="A25" t="s">
        <v>126</v>
      </c>
      <c r="B25" s="64">
        <v>0</v>
      </c>
      <c r="C25" s="64">
        <v>0</v>
      </c>
      <c r="D25" s="64">
        <f t="shared" ref="D25:D56" si="1">B25-C25</f>
        <v>0</v>
      </c>
    </row>
    <row r="26" spans="1:4" x14ac:dyDescent="0.2">
      <c r="B26" s="15"/>
      <c r="C26" s="15"/>
      <c r="D26" s="15"/>
    </row>
    <row r="27" spans="1:4" x14ac:dyDescent="0.2">
      <c r="A27" t="s">
        <v>131</v>
      </c>
      <c r="B27" s="64">
        <v>0</v>
      </c>
      <c r="C27" s="64">
        <v>0</v>
      </c>
      <c r="D27" s="64">
        <f t="shared" si="1"/>
        <v>0</v>
      </c>
    </row>
    <row r="28" spans="1:4" x14ac:dyDescent="0.2">
      <c r="A28" s="2"/>
      <c r="B28" s="15"/>
      <c r="C28" s="15"/>
      <c r="D28" s="15"/>
    </row>
    <row r="29" spans="1:4" x14ac:dyDescent="0.2">
      <c r="A29" t="s">
        <v>127</v>
      </c>
      <c r="B29" s="64">
        <f>SUM(B30:B32)</f>
        <v>0</v>
      </c>
      <c r="C29" s="64">
        <f>SUM(C30:C32)</f>
        <v>0</v>
      </c>
      <c r="D29" s="64">
        <f t="shared" si="1"/>
        <v>0</v>
      </c>
    </row>
    <row r="30" spans="1:4" x14ac:dyDescent="0.2">
      <c r="A30" s="2" t="s">
        <v>173</v>
      </c>
      <c r="B30" s="15"/>
      <c r="C30" s="15"/>
      <c r="D30" s="65">
        <f t="shared" si="1"/>
        <v>0</v>
      </c>
    </row>
    <row r="31" spans="1:4" x14ac:dyDescent="0.2">
      <c r="A31" s="2" t="s">
        <v>174</v>
      </c>
      <c r="B31" s="15"/>
      <c r="C31" s="15"/>
      <c r="D31" s="65">
        <f t="shared" si="1"/>
        <v>0</v>
      </c>
    </row>
    <row r="32" spans="1:4" x14ac:dyDescent="0.2">
      <c r="A32" s="2" t="s">
        <v>175</v>
      </c>
      <c r="B32" s="15"/>
      <c r="C32" s="15"/>
      <c r="D32" s="65">
        <f t="shared" si="1"/>
        <v>0</v>
      </c>
    </row>
    <row r="33" spans="1:4" x14ac:dyDescent="0.2">
      <c r="B33" s="15"/>
      <c r="C33" s="15"/>
      <c r="D33" s="15"/>
    </row>
    <row r="34" spans="1:4" x14ac:dyDescent="0.2">
      <c r="A34" t="s">
        <v>176</v>
      </c>
      <c r="B34" s="64">
        <v>0</v>
      </c>
      <c r="C34" s="64">
        <v>0</v>
      </c>
      <c r="D34" s="64">
        <f t="shared" si="1"/>
        <v>0</v>
      </c>
    </row>
    <row r="35" spans="1:4" x14ac:dyDescent="0.2">
      <c r="B35" s="15"/>
      <c r="C35" s="15"/>
      <c r="D35" s="15"/>
    </row>
    <row r="36" spans="1:4" x14ac:dyDescent="0.2">
      <c r="A36" t="s">
        <v>128</v>
      </c>
      <c r="B36" s="64">
        <f>SUM(B37:B40)</f>
        <v>0</v>
      </c>
      <c r="C36" s="64">
        <f>SUM(C37:C40)</f>
        <v>0</v>
      </c>
      <c r="D36" s="64">
        <f t="shared" si="1"/>
        <v>0</v>
      </c>
    </row>
    <row r="37" spans="1:4" x14ac:dyDescent="0.2">
      <c r="A37" s="2" t="s">
        <v>177</v>
      </c>
      <c r="B37" s="15"/>
      <c r="C37" s="15"/>
      <c r="D37" s="15">
        <f>B37-C37</f>
        <v>0</v>
      </c>
    </row>
    <row r="38" spans="1:4" x14ac:dyDescent="0.2">
      <c r="A38" s="2" t="s">
        <v>178</v>
      </c>
      <c r="B38" s="15"/>
      <c r="C38" s="15"/>
      <c r="D38" s="15">
        <f t="shared" ref="D38:D40" si="2">B38-C38</f>
        <v>0</v>
      </c>
    </row>
    <row r="39" spans="1:4" x14ac:dyDescent="0.2">
      <c r="A39" s="2" t="s">
        <v>179</v>
      </c>
      <c r="B39" s="15"/>
      <c r="C39" s="15"/>
      <c r="D39" s="15">
        <f t="shared" si="2"/>
        <v>0</v>
      </c>
    </row>
    <row r="40" spans="1:4" x14ac:dyDescent="0.2">
      <c r="A40" s="2" t="s">
        <v>180</v>
      </c>
      <c r="B40" s="15"/>
      <c r="C40" s="15"/>
      <c r="D40" s="15">
        <f t="shared" si="2"/>
        <v>0</v>
      </c>
    </row>
    <row r="41" spans="1:4" x14ac:dyDescent="0.2">
      <c r="B41" s="15"/>
      <c r="C41" s="15"/>
      <c r="D41" s="15"/>
    </row>
    <row r="42" spans="1:4" x14ac:dyDescent="0.2">
      <c r="A42" s="2" t="s">
        <v>181</v>
      </c>
      <c r="B42" s="64">
        <v>0</v>
      </c>
      <c r="C42" s="64">
        <v>0</v>
      </c>
      <c r="D42" s="64">
        <f>B42-C42</f>
        <v>0</v>
      </c>
    </row>
    <row r="43" spans="1:4" x14ac:dyDescent="0.2">
      <c r="B43" s="15"/>
      <c r="C43" s="15"/>
      <c r="D43" s="15"/>
    </row>
    <row r="44" spans="1:4" x14ac:dyDescent="0.2">
      <c r="A44" t="s">
        <v>129</v>
      </c>
      <c r="B44" s="64">
        <f>SUM(B45:B48)</f>
        <v>0</v>
      </c>
      <c r="C44" s="64">
        <f>SUM(C45:C48)</f>
        <v>0</v>
      </c>
      <c r="D44" s="64">
        <f t="shared" si="1"/>
        <v>0</v>
      </c>
    </row>
    <row r="45" spans="1:4" x14ac:dyDescent="0.2">
      <c r="A45" s="2" t="s">
        <v>132</v>
      </c>
      <c r="B45" s="15"/>
      <c r="C45" s="15"/>
      <c r="D45" s="15">
        <f t="shared" si="1"/>
        <v>0</v>
      </c>
    </row>
    <row r="46" spans="1:4" x14ac:dyDescent="0.2">
      <c r="A46" s="2" t="s">
        <v>133</v>
      </c>
      <c r="B46" s="15"/>
      <c r="C46" s="15"/>
      <c r="D46" s="15">
        <f t="shared" si="1"/>
        <v>0</v>
      </c>
    </row>
    <row r="47" spans="1:4" x14ac:dyDescent="0.2">
      <c r="A47" s="2" t="s">
        <v>182</v>
      </c>
      <c r="B47" s="15"/>
      <c r="C47" s="15"/>
      <c r="D47" s="15">
        <f t="shared" si="1"/>
        <v>0</v>
      </c>
    </row>
    <row r="48" spans="1:4" x14ac:dyDescent="0.2">
      <c r="A48" s="2" t="s">
        <v>183</v>
      </c>
      <c r="B48" s="15"/>
      <c r="C48" s="15"/>
      <c r="D48" s="15">
        <f t="shared" si="1"/>
        <v>0</v>
      </c>
    </row>
    <row r="49" spans="1:4" x14ac:dyDescent="0.2">
      <c r="B49" s="15"/>
      <c r="C49" s="15"/>
      <c r="D49" s="15"/>
    </row>
    <row r="50" spans="1:4" x14ac:dyDescent="0.2">
      <c r="A50" t="s">
        <v>130</v>
      </c>
      <c r="B50" s="64">
        <f>SUM(B51:B54)</f>
        <v>0</v>
      </c>
      <c r="C50" s="64">
        <f>SUM(C51:C54)</f>
        <v>0</v>
      </c>
      <c r="D50" s="64">
        <f t="shared" si="1"/>
        <v>0</v>
      </c>
    </row>
    <row r="51" spans="1:4" x14ac:dyDescent="0.2">
      <c r="A51" s="2" t="s">
        <v>184</v>
      </c>
      <c r="B51" s="15"/>
      <c r="C51" s="15"/>
      <c r="D51" s="15">
        <f t="shared" si="1"/>
        <v>0</v>
      </c>
    </row>
    <row r="52" spans="1:4" x14ac:dyDescent="0.2">
      <c r="A52" s="62" t="s">
        <v>185</v>
      </c>
      <c r="B52" s="15"/>
      <c r="C52" s="15"/>
      <c r="D52" s="15">
        <f t="shared" si="1"/>
        <v>0</v>
      </c>
    </row>
    <row r="53" spans="1:4" x14ac:dyDescent="0.2">
      <c r="A53" s="2" t="s">
        <v>188</v>
      </c>
      <c r="B53" s="15"/>
      <c r="C53" s="15"/>
      <c r="D53" s="15">
        <f t="shared" si="1"/>
        <v>0</v>
      </c>
    </row>
    <row r="54" spans="1:4" x14ac:dyDescent="0.2">
      <c r="A54" s="2" t="s">
        <v>186</v>
      </c>
      <c r="B54" s="15"/>
      <c r="C54" s="15"/>
      <c r="D54" s="15">
        <f t="shared" si="1"/>
        <v>0</v>
      </c>
    </row>
    <row r="55" spans="1:4" ht="13.5" thickBot="1" x14ac:dyDescent="0.25">
      <c r="A55" s="2"/>
      <c r="B55" s="15"/>
      <c r="C55" s="15"/>
      <c r="D55" s="15"/>
    </row>
    <row r="56" spans="1:4" ht="13.5" thickTop="1" x14ac:dyDescent="0.2">
      <c r="A56" s="6" t="s">
        <v>11</v>
      </c>
      <c r="B56" s="33">
        <f>SUM(B19,B25,B27,B29,B34,B36,B42, B44,B50)</f>
        <v>0</v>
      </c>
      <c r="C56" s="33">
        <f>SUM(C19,C25,C27,C29,C34,C36,C42, C44,C50)</f>
        <v>0</v>
      </c>
      <c r="D56" s="33">
        <f t="shared" si="1"/>
        <v>0</v>
      </c>
    </row>
    <row r="57" spans="1:4" ht="7.5" customHeight="1" x14ac:dyDescent="0.2"/>
    <row r="58" spans="1:4" ht="15" x14ac:dyDescent="0.2">
      <c r="A58" s="10" t="s">
        <v>134</v>
      </c>
      <c r="B58" s="7"/>
      <c r="C58" s="7"/>
      <c r="D58" s="7"/>
    </row>
    <row r="59" spans="1:4" ht="39.75" customHeight="1" x14ac:dyDescent="0.2">
      <c r="A59" s="12" t="s">
        <v>124</v>
      </c>
      <c r="B59" s="58" t="s">
        <v>187</v>
      </c>
      <c r="C59" s="58" t="s">
        <v>156</v>
      </c>
      <c r="D59" s="58" t="s">
        <v>140</v>
      </c>
    </row>
    <row r="60" spans="1:4" x14ac:dyDescent="0.2">
      <c r="A60" t="s">
        <v>125</v>
      </c>
      <c r="B60" s="64">
        <f>SUM(B61:B64)</f>
        <v>0</v>
      </c>
      <c r="C60" s="64">
        <f>SUM(C61:C64)</f>
        <v>0</v>
      </c>
      <c r="D60" s="64">
        <f>B60-C60</f>
        <v>0</v>
      </c>
    </row>
    <row r="61" spans="1:4" x14ac:dyDescent="0.2">
      <c r="A61" s="2" t="s">
        <v>169</v>
      </c>
      <c r="B61" s="15"/>
      <c r="C61" s="15"/>
      <c r="D61" s="15">
        <f>B61-C61</f>
        <v>0</v>
      </c>
    </row>
    <row r="62" spans="1:4" x14ac:dyDescent="0.2">
      <c r="A62" s="2" t="s">
        <v>170</v>
      </c>
      <c r="B62" s="15"/>
      <c r="C62" s="15"/>
      <c r="D62" s="15">
        <f>B62-C62</f>
        <v>0</v>
      </c>
    </row>
    <row r="63" spans="1:4" x14ac:dyDescent="0.2">
      <c r="A63" s="2" t="s">
        <v>171</v>
      </c>
      <c r="B63" s="15"/>
      <c r="C63" s="15"/>
      <c r="D63" s="15">
        <f>B63-C63</f>
        <v>0</v>
      </c>
    </row>
    <row r="64" spans="1:4" x14ac:dyDescent="0.2">
      <c r="A64" s="2" t="s">
        <v>172</v>
      </c>
      <c r="B64" s="15"/>
      <c r="C64" s="15"/>
      <c r="D64" s="15">
        <f>B64-C64</f>
        <v>0</v>
      </c>
    </row>
    <row r="65" spans="1:4" x14ac:dyDescent="0.2">
      <c r="A65" s="2"/>
      <c r="B65" s="15"/>
      <c r="C65" s="15"/>
      <c r="D65" s="15"/>
    </row>
    <row r="66" spans="1:4" x14ac:dyDescent="0.2">
      <c r="A66" t="s">
        <v>127</v>
      </c>
      <c r="B66" s="64">
        <f>SUM(B67:B69)</f>
        <v>0</v>
      </c>
      <c r="C66" s="64">
        <f>SUM(C67:C69)</f>
        <v>0</v>
      </c>
      <c r="D66" s="64">
        <f>B66-C66</f>
        <v>0</v>
      </c>
    </row>
    <row r="67" spans="1:4" x14ac:dyDescent="0.2">
      <c r="A67" s="2" t="s">
        <v>173</v>
      </c>
      <c r="B67" s="15"/>
      <c r="C67" s="15"/>
      <c r="D67" s="15">
        <f>B67-C67</f>
        <v>0</v>
      </c>
    </row>
    <row r="68" spans="1:4" x14ac:dyDescent="0.2">
      <c r="A68" s="2" t="s">
        <v>174</v>
      </c>
      <c r="B68" s="15"/>
      <c r="C68" s="15"/>
      <c r="D68" s="15">
        <f>B68-C68</f>
        <v>0</v>
      </c>
    </row>
    <row r="69" spans="1:4" x14ac:dyDescent="0.2">
      <c r="A69" s="2" t="s">
        <v>175</v>
      </c>
      <c r="B69" s="15"/>
      <c r="C69" s="15"/>
      <c r="D69" s="15">
        <f>B69-C69</f>
        <v>0</v>
      </c>
    </row>
    <row r="70" spans="1:4" x14ac:dyDescent="0.2">
      <c r="B70" s="15"/>
      <c r="C70" s="15"/>
      <c r="D70" s="15"/>
    </row>
    <row r="71" spans="1:4" x14ac:dyDescent="0.2">
      <c r="A71" t="s">
        <v>176</v>
      </c>
      <c r="B71" s="64">
        <v>0</v>
      </c>
      <c r="C71" s="64">
        <v>0</v>
      </c>
      <c r="D71" s="64">
        <f t="shared" ref="D71:D91" si="3">B71-C71</f>
        <v>0</v>
      </c>
    </row>
    <row r="72" spans="1:4" x14ac:dyDescent="0.2">
      <c r="B72" s="15"/>
      <c r="C72" s="15"/>
      <c r="D72" s="15"/>
    </row>
    <row r="73" spans="1:4" x14ac:dyDescent="0.2">
      <c r="A73" t="s">
        <v>128</v>
      </c>
      <c r="B73" s="64">
        <f>SUM(B74:B77)</f>
        <v>0</v>
      </c>
      <c r="C73" s="64">
        <f>SUM(C74:C77)</f>
        <v>0</v>
      </c>
      <c r="D73" s="64">
        <f t="shared" si="3"/>
        <v>0</v>
      </c>
    </row>
    <row r="74" spans="1:4" x14ac:dyDescent="0.2">
      <c r="A74" s="2" t="s">
        <v>177</v>
      </c>
      <c r="B74" s="15"/>
      <c r="C74" s="15"/>
      <c r="D74" s="15">
        <f t="shared" si="3"/>
        <v>0</v>
      </c>
    </row>
    <row r="75" spans="1:4" x14ac:dyDescent="0.2">
      <c r="A75" s="2" t="s">
        <v>178</v>
      </c>
      <c r="B75" s="15"/>
      <c r="C75" s="15"/>
      <c r="D75" s="15">
        <f t="shared" si="3"/>
        <v>0</v>
      </c>
    </row>
    <row r="76" spans="1:4" x14ac:dyDescent="0.2">
      <c r="A76" s="2" t="s">
        <v>179</v>
      </c>
      <c r="B76" s="15"/>
      <c r="C76" s="15"/>
      <c r="D76" s="15">
        <f t="shared" si="3"/>
        <v>0</v>
      </c>
    </row>
    <row r="77" spans="1:4" x14ac:dyDescent="0.2">
      <c r="A77" s="2" t="s">
        <v>180</v>
      </c>
      <c r="B77" s="15"/>
      <c r="C77" s="15"/>
      <c r="D77" s="15">
        <f t="shared" si="3"/>
        <v>0</v>
      </c>
    </row>
    <row r="78" spans="1:4" x14ac:dyDescent="0.2">
      <c r="B78" s="15"/>
      <c r="C78" s="15"/>
      <c r="D78" s="15"/>
    </row>
    <row r="79" spans="1:4" x14ac:dyDescent="0.2">
      <c r="A79" s="24" t="s">
        <v>181</v>
      </c>
      <c r="B79" s="64">
        <v>0</v>
      </c>
      <c r="C79" s="64">
        <v>0</v>
      </c>
      <c r="D79" s="64">
        <f>B79-C79</f>
        <v>0</v>
      </c>
    </row>
    <row r="80" spans="1:4" x14ac:dyDescent="0.2">
      <c r="B80" s="15"/>
      <c r="C80" s="15"/>
      <c r="D80" s="15"/>
    </row>
    <row r="81" spans="1:4" x14ac:dyDescent="0.2">
      <c r="A81" t="s">
        <v>129</v>
      </c>
      <c r="B81" s="64">
        <f>SUM(B82:B85)</f>
        <v>0</v>
      </c>
      <c r="C81" s="64">
        <f>SUM(C82:C85)</f>
        <v>0</v>
      </c>
      <c r="D81" s="64">
        <f t="shared" si="3"/>
        <v>0</v>
      </c>
    </row>
    <row r="82" spans="1:4" x14ac:dyDescent="0.2">
      <c r="A82" s="2" t="s">
        <v>132</v>
      </c>
      <c r="B82" s="15"/>
      <c r="C82" s="15"/>
      <c r="D82" s="15">
        <f t="shared" si="3"/>
        <v>0</v>
      </c>
    </row>
    <row r="83" spans="1:4" x14ac:dyDescent="0.2">
      <c r="A83" s="2" t="s">
        <v>133</v>
      </c>
      <c r="B83" s="15"/>
      <c r="C83" s="15"/>
      <c r="D83" s="15">
        <f t="shared" si="3"/>
        <v>0</v>
      </c>
    </row>
    <row r="84" spans="1:4" x14ac:dyDescent="0.2">
      <c r="A84" s="2" t="s">
        <v>182</v>
      </c>
      <c r="B84" s="15"/>
      <c r="C84" s="15"/>
      <c r="D84" s="15">
        <f t="shared" si="3"/>
        <v>0</v>
      </c>
    </row>
    <row r="85" spans="1:4" x14ac:dyDescent="0.2">
      <c r="A85" s="2" t="s">
        <v>183</v>
      </c>
      <c r="B85" s="15"/>
      <c r="C85" s="15"/>
      <c r="D85" s="15">
        <f t="shared" si="3"/>
        <v>0</v>
      </c>
    </row>
    <row r="86" spans="1:4" x14ac:dyDescent="0.2">
      <c r="B86" s="15"/>
      <c r="C86" s="15"/>
      <c r="D86" s="15"/>
    </row>
    <row r="87" spans="1:4" x14ac:dyDescent="0.2">
      <c r="A87" t="s">
        <v>130</v>
      </c>
      <c r="B87" s="64">
        <f>SUM(B88:B91)</f>
        <v>0</v>
      </c>
      <c r="C87" s="64">
        <f>SUM(C88:C91)</f>
        <v>0</v>
      </c>
      <c r="D87" s="64">
        <f t="shared" si="3"/>
        <v>0</v>
      </c>
    </row>
    <row r="88" spans="1:4" x14ac:dyDescent="0.2">
      <c r="A88" s="2" t="s">
        <v>184</v>
      </c>
      <c r="B88" s="15"/>
      <c r="C88" s="15"/>
      <c r="D88" s="15">
        <f t="shared" si="3"/>
        <v>0</v>
      </c>
    </row>
    <row r="89" spans="1:4" x14ac:dyDescent="0.2">
      <c r="A89" s="62" t="s">
        <v>185</v>
      </c>
      <c r="B89" s="15"/>
      <c r="C89" s="15"/>
      <c r="D89" s="15">
        <f t="shared" si="3"/>
        <v>0</v>
      </c>
    </row>
    <row r="90" spans="1:4" x14ac:dyDescent="0.2">
      <c r="A90" s="2" t="s">
        <v>188</v>
      </c>
      <c r="B90" s="15"/>
      <c r="C90" s="15"/>
      <c r="D90" s="15">
        <f t="shared" si="3"/>
        <v>0</v>
      </c>
    </row>
    <row r="91" spans="1:4" x14ac:dyDescent="0.2">
      <c r="A91" s="2" t="s">
        <v>186</v>
      </c>
      <c r="B91" s="15"/>
      <c r="C91" s="15"/>
      <c r="D91" s="15">
        <f t="shared" si="3"/>
        <v>0</v>
      </c>
    </row>
    <row r="92" spans="1:4" ht="13.5" thickBot="1" x14ac:dyDescent="0.25">
      <c r="B92" s="15"/>
      <c r="C92" s="15"/>
      <c r="D92" s="15"/>
    </row>
    <row r="93" spans="1:4" ht="13.5" thickTop="1" x14ac:dyDescent="0.2">
      <c r="A93" s="6" t="s">
        <v>11</v>
      </c>
      <c r="B93" s="33">
        <f>SUM(B60,B66,B71,B73,B79,B81,B87)</f>
        <v>0</v>
      </c>
      <c r="C93" s="33">
        <f>SUM(C60,C66,C71,C73,C79,C81,C87)</f>
        <v>0</v>
      </c>
      <c r="D93" s="33">
        <f>B93-C93</f>
        <v>0</v>
      </c>
    </row>
    <row r="95" spans="1:4" ht="15" x14ac:dyDescent="0.2">
      <c r="A95" s="31" t="s">
        <v>138</v>
      </c>
      <c r="B95" s="32"/>
      <c r="C95" s="32"/>
      <c r="D95" s="32"/>
    </row>
    <row r="96" spans="1:4" x14ac:dyDescent="0.2">
      <c r="B96" s="3"/>
      <c r="C96" s="3"/>
    </row>
    <row r="97" spans="1:4" ht="38.25" x14ac:dyDescent="0.2">
      <c r="A97" t="s">
        <v>199</v>
      </c>
      <c r="B97" s="58" t="s">
        <v>155</v>
      </c>
      <c r="C97" s="58" t="s">
        <v>156</v>
      </c>
      <c r="D97" s="58" t="s">
        <v>140</v>
      </c>
    </row>
    <row r="98" spans="1:4" x14ac:dyDescent="0.2">
      <c r="A98" t="s">
        <v>189</v>
      </c>
      <c r="B98" s="64">
        <f>SUM(B99:B102)</f>
        <v>0</v>
      </c>
      <c r="C98" s="64">
        <f>SUM(C99:C102)</f>
        <v>0</v>
      </c>
      <c r="D98" s="64">
        <f t="shared" ref="D98:D108" si="4">B98-C98</f>
        <v>0</v>
      </c>
    </row>
    <row r="99" spans="1:4" x14ac:dyDescent="0.2">
      <c r="A99" s="2" t="s">
        <v>190</v>
      </c>
      <c r="B99" s="15"/>
      <c r="C99" s="15"/>
      <c r="D99" s="15">
        <f t="shared" si="4"/>
        <v>0</v>
      </c>
    </row>
    <row r="100" spans="1:4" x14ac:dyDescent="0.2">
      <c r="A100" s="2" t="s">
        <v>191</v>
      </c>
      <c r="B100" s="15"/>
      <c r="C100" s="15"/>
      <c r="D100" s="15">
        <f t="shared" si="4"/>
        <v>0</v>
      </c>
    </row>
    <row r="101" spans="1:4" x14ac:dyDescent="0.2">
      <c r="A101" s="2" t="s">
        <v>192</v>
      </c>
      <c r="B101" s="15"/>
      <c r="C101" s="15"/>
      <c r="D101" s="15">
        <f t="shared" si="4"/>
        <v>0</v>
      </c>
    </row>
    <row r="102" spans="1:4" x14ac:dyDescent="0.2">
      <c r="A102" s="2" t="s">
        <v>193</v>
      </c>
      <c r="B102" s="15"/>
      <c r="C102" s="15"/>
      <c r="D102" s="15">
        <f t="shared" si="4"/>
        <v>0</v>
      </c>
    </row>
    <row r="103" spans="1:4" x14ac:dyDescent="0.2">
      <c r="B103" s="15"/>
      <c r="C103" s="15"/>
      <c r="D103" s="15"/>
    </row>
    <row r="104" spans="1:4" x14ac:dyDescent="0.2">
      <c r="A104" t="s">
        <v>194</v>
      </c>
      <c r="B104" s="64">
        <f>SUM(B105:B108)</f>
        <v>0</v>
      </c>
      <c r="C104" s="64">
        <f>SUM(C105:C108)</f>
        <v>0</v>
      </c>
      <c r="D104" s="64">
        <f>B104-C104</f>
        <v>0</v>
      </c>
    </row>
    <row r="105" spans="1:4" x14ac:dyDescent="0.2">
      <c r="A105" s="2" t="s">
        <v>195</v>
      </c>
      <c r="B105" s="15"/>
      <c r="C105" s="15"/>
      <c r="D105" s="15">
        <f t="shared" si="4"/>
        <v>0</v>
      </c>
    </row>
    <row r="106" spans="1:4" x14ac:dyDescent="0.2">
      <c r="A106" s="2" t="s">
        <v>196</v>
      </c>
      <c r="B106" s="15"/>
      <c r="C106" s="15"/>
      <c r="D106" s="15">
        <f t="shared" si="4"/>
        <v>0</v>
      </c>
    </row>
    <row r="107" spans="1:4" x14ac:dyDescent="0.2">
      <c r="A107" s="2" t="s">
        <v>197</v>
      </c>
      <c r="B107" s="15"/>
      <c r="C107" s="15"/>
      <c r="D107" s="15">
        <f t="shared" si="4"/>
        <v>0</v>
      </c>
    </row>
    <row r="108" spans="1:4" x14ac:dyDescent="0.2">
      <c r="A108" s="2" t="s">
        <v>198</v>
      </c>
      <c r="B108" s="15"/>
      <c r="C108" s="15"/>
      <c r="D108" s="15">
        <f t="shared" si="4"/>
        <v>0</v>
      </c>
    </row>
    <row r="109" spans="1:4" ht="13.5" thickBot="1" x14ac:dyDescent="0.25">
      <c r="B109" s="15"/>
      <c r="C109" s="15"/>
      <c r="D109" s="15"/>
    </row>
    <row r="110" spans="1:4" ht="13.5" thickTop="1" x14ac:dyDescent="0.2">
      <c r="A110" s="6" t="s">
        <v>11</v>
      </c>
      <c r="B110" s="33">
        <f>SUM(B98,B104)</f>
        <v>0</v>
      </c>
      <c r="C110" s="33">
        <f>SUM(C98,C104)</f>
        <v>0</v>
      </c>
      <c r="D110" s="33">
        <f>SUM(D98,D104)</f>
        <v>0</v>
      </c>
    </row>
  </sheetData>
  <phoneticPr fontId="5" type="noConversion"/>
  <pageMargins left="0.7" right="0.7" top="1.2884374999999999" bottom="0.75" header="0.3" footer="0.3"/>
  <pageSetup scale="93" fitToHeight="0" orientation="portrait" horizontalDpi="1200" verticalDpi="1200" r:id="rId1"/>
  <headerFooter>
    <oddHeader>&amp;L&amp;G&amp;C&amp;14Building Systems Standards Cost Benefit Analysis&amp;R&amp;9&amp;D</oddHeader>
    <oddFooter>&amp;L&amp;9Dept. of Education and Early Development&amp;C&amp;9&amp;A&amp;R&amp;9Page &amp;P of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26209-F821-42D3-AFD3-AE31981AA880}">
  <sheetPr>
    <pageSetUpPr fitToPage="1"/>
  </sheetPr>
  <dimension ref="A1:V42"/>
  <sheetViews>
    <sheetView view="pageLayout" topLeftCell="A26" zoomScale="85" zoomScaleNormal="100" zoomScalePageLayoutView="85" workbookViewId="0">
      <selection activeCell="G63" sqref="G63"/>
    </sheetView>
  </sheetViews>
  <sheetFormatPr defaultRowHeight="12.75" x14ac:dyDescent="0.2"/>
  <cols>
    <col min="1" max="1" width="23.140625" customWidth="1"/>
    <col min="2" max="2" width="10.28515625" bestFit="1" customWidth="1"/>
    <col min="3" max="3" width="23.42578125" bestFit="1" customWidth="1"/>
    <col min="4" max="4" width="10.7109375" bestFit="1" customWidth="1"/>
    <col min="5" max="5" width="8.42578125" bestFit="1" customWidth="1"/>
    <col min="6" max="6" width="14.140625" bestFit="1" customWidth="1"/>
    <col min="7" max="8" width="13.7109375" bestFit="1" customWidth="1"/>
    <col min="9" max="11" width="8.42578125" customWidth="1"/>
    <col min="12" max="12" width="12.5703125" customWidth="1"/>
    <col min="13" max="13" width="8.42578125" customWidth="1"/>
    <col min="14" max="14" width="9.85546875" customWidth="1"/>
    <col min="15" max="22" width="8.42578125" customWidth="1"/>
  </cols>
  <sheetData>
    <row r="1" spans="1:22" ht="18" x14ac:dyDescent="0.2">
      <c r="A1" s="20" t="s">
        <v>67</v>
      </c>
      <c r="B1" s="21"/>
      <c r="C1" s="21"/>
      <c r="D1" s="21"/>
      <c r="E1" s="21"/>
      <c r="F1" s="21"/>
      <c r="G1" s="21"/>
      <c r="H1" s="21"/>
      <c r="I1" s="21"/>
      <c r="J1" s="21"/>
      <c r="K1" s="21"/>
      <c r="L1" s="21"/>
      <c r="M1" s="21"/>
      <c r="N1" s="21"/>
      <c r="O1" s="1"/>
      <c r="P1" s="1"/>
    </row>
    <row r="2" spans="1:22" x14ac:dyDescent="0.2">
      <c r="A2" t="s">
        <v>32</v>
      </c>
      <c r="B2" t="s">
        <v>33</v>
      </c>
      <c r="C2" t="s">
        <v>34</v>
      </c>
      <c r="D2" s="3" t="s">
        <v>35</v>
      </c>
      <c r="E2" t="s">
        <v>36</v>
      </c>
      <c r="F2" s="3" t="s">
        <v>37</v>
      </c>
      <c r="G2" s="3" t="s">
        <v>38</v>
      </c>
      <c r="H2" s="3" t="s">
        <v>39</v>
      </c>
      <c r="I2" s="3" t="s">
        <v>44</v>
      </c>
      <c r="J2" s="40" t="s">
        <v>8</v>
      </c>
      <c r="K2" s="3" t="s">
        <v>68</v>
      </c>
      <c r="L2" s="42" t="s">
        <v>45</v>
      </c>
      <c r="M2" s="3" t="s">
        <v>69</v>
      </c>
      <c r="N2" s="43" t="s">
        <v>4</v>
      </c>
    </row>
    <row r="3" spans="1:22" x14ac:dyDescent="0.2">
      <c r="A3" t="s">
        <v>70</v>
      </c>
      <c r="B3">
        <v>6233</v>
      </c>
      <c r="C3" t="s">
        <v>71</v>
      </c>
      <c r="D3" s="3" t="s">
        <v>41</v>
      </c>
      <c r="E3" t="s">
        <v>42</v>
      </c>
      <c r="F3" s="3">
        <v>99</v>
      </c>
      <c r="G3" s="3" t="s">
        <v>72</v>
      </c>
      <c r="H3" s="15">
        <v>130073</v>
      </c>
      <c r="I3" s="3">
        <v>0</v>
      </c>
      <c r="J3" s="15">
        <f>SUM(H3:I3)</f>
        <v>130073</v>
      </c>
      <c r="K3" s="23">
        <f>J3/N3</f>
        <v>0.67187855120973572</v>
      </c>
      <c r="L3" s="15">
        <v>63523</v>
      </c>
      <c r="M3" s="23">
        <f>L3/N3</f>
        <v>0.32812144879026428</v>
      </c>
      <c r="N3" s="15">
        <f>SUM(J3,L3)</f>
        <v>193596</v>
      </c>
    </row>
    <row r="4" spans="1:22" x14ac:dyDescent="0.2">
      <c r="A4" t="s">
        <v>40</v>
      </c>
      <c r="B4">
        <v>6228</v>
      </c>
      <c r="C4" t="s">
        <v>30</v>
      </c>
      <c r="D4" s="3" t="s">
        <v>41</v>
      </c>
      <c r="E4" t="s">
        <v>42</v>
      </c>
      <c r="F4" s="3">
        <v>205</v>
      </c>
      <c r="G4" s="3" t="s">
        <v>43</v>
      </c>
      <c r="H4" s="15">
        <v>132892</v>
      </c>
      <c r="I4" s="15">
        <v>0</v>
      </c>
      <c r="J4" s="15">
        <f>SUM(H4:I4)</f>
        <v>132892</v>
      </c>
      <c r="K4" s="23">
        <f>J4/N4</f>
        <v>0.67326632351153082</v>
      </c>
      <c r="L4" s="15">
        <v>64492</v>
      </c>
      <c r="M4" s="23">
        <f>L4/N4</f>
        <v>0.32673367648846918</v>
      </c>
      <c r="N4" s="15">
        <f>SUM(J4,L4)</f>
        <v>197384</v>
      </c>
    </row>
    <row r="5" spans="1:22" x14ac:dyDescent="0.2">
      <c r="A5" t="s">
        <v>46</v>
      </c>
      <c r="B5">
        <v>6184</v>
      </c>
      <c r="C5" t="s">
        <v>31</v>
      </c>
      <c r="D5" s="3" t="s">
        <v>41</v>
      </c>
      <c r="E5" t="s">
        <v>42</v>
      </c>
      <c r="F5" s="3">
        <v>205</v>
      </c>
      <c r="G5" s="3" t="s">
        <v>47</v>
      </c>
      <c r="H5" s="15">
        <v>70935</v>
      </c>
      <c r="I5" s="15">
        <v>2859</v>
      </c>
      <c r="J5" s="15">
        <f>SUM(H5:I5)</f>
        <v>73794</v>
      </c>
      <c r="K5" s="23">
        <f>J5/N5</f>
        <v>0.63256699069073707</v>
      </c>
      <c r="L5" s="15">
        <v>42864</v>
      </c>
      <c r="M5" s="23">
        <f>L5/N5</f>
        <v>0.36743300930926298</v>
      </c>
      <c r="N5" s="15">
        <f>SUM(J5,L5)</f>
        <v>116658</v>
      </c>
    </row>
    <row r="6" spans="1:22" x14ac:dyDescent="0.2">
      <c r="A6" t="s">
        <v>75</v>
      </c>
      <c r="B6">
        <v>6154</v>
      </c>
      <c r="C6" s="24" t="s">
        <v>74</v>
      </c>
      <c r="D6" s="3" t="s">
        <v>41</v>
      </c>
      <c r="E6" t="s">
        <v>42</v>
      </c>
      <c r="F6" s="3">
        <v>205</v>
      </c>
      <c r="G6" s="3" t="s">
        <v>76</v>
      </c>
      <c r="H6" s="15">
        <v>79236</v>
      </c>
      <c r="I6" s="15">
        <v>3194</v>
      </c>
      <c r="J6" s="15">
        <f>SUM(H6:I6)</f>
        <v>82430</v>
      </c>
      <c r="K6" s="23">
        <f>J6/N6</f>
        <v>0.64325066720771618</v>
      </c>
      <c r="L6" s="15">
        <v>45716</v>
      </c>
      <c r="M6" s="23">
        <f>L6/N6</f>
        <v>0.35674933279228382</v>
      </c>
      <c r="N6" s="15">
        <f>SUM(J6,L6)</f>
        <v>128146</v>
      </c>
    </row>
    <row r="7" spans="1:22" x14ac:dyDescent="0.2">
      <c r="C7" s="24"/>
      <c r="D7" s="3"/>
      <c r="F7" s="3"/>
      <c r="G7" s="3"/>
      <c r="H7" s="15"/>
      <c r="I7" s="15"/>
      <c r="J7" s="15"/>
      <c r="K7" s="23"/>
      <c r="L7" s="15"/>
      <c r="M7" s="23"/>
      <c r="N7" s="15"/>
    </row>
    <row r="8" spans="1:22" ht="15" x14ac:dyDescent="0.2">
      <c r="A8" s="20" t="s">
        <v>101</v>
      </c>
      <c r="B8" s="21"/>
      <c r="C8" s="21"/>
      <c r="D8" s="21"/>
      <c r="E8" s="21"/>
      <c r="F8" s="21"/>
      <c r="G8" s="21"/>
      <c r="H8" s="21"/>
      <c r="I8" s="21"/>
      <c r="J8" s="21"/>
      <c r="K8" s="21"/>
      <c r="L8" s="21"/>
      <c r="M8" s="21"/>
      <c r="N8" s="21"/>
      <c r="O8" s="20"/>
      <c r="P8" s="21"/>
      <c r="Q8" s="21"/>
      <c r="R8" s="21"/>
      <c r="S8" s="21"/>
      <c r="T8" s="21"/>
      <c r="U8" s="21"/>
      <c r="V8" s="21"/>
    </row>
    <row r="9" spans="1:22" x14ac:dyDescent="0.2">
      <c r="B9" s="39" t="s">
        <v>93</v>
      </c>
      <c r="C9" s="39"/>
      <c r="D9" s="39"/>
      <c r="E9" s="39"/>
      <c r="F9" s="39"/>
      <c r="G9" s="39"/>
      <c r="H9" s="39"/>
      <c r="I9" s="41" t="s">
        <v>100</v>
      </c>
      <c r="J9" s="41"/>
      <c r="K9" s="41"/>
      <c r="L9" s="41"/>
      <c r="M9" s="41"/>
      <c r="N9" s="41"/>
      <c r="O9" s="41"/>
      <c r="P9" s="44" t="s">
        <v>11</v>
      </c>
      <c r="Q9" s="44"/>
      <c r="R9" s="44"/>
      <c r="S9" s="44"/>
      <c r="T9" s="44"/>
      <c r="U9" s="44"/>
      <c r="V9" s="44"/>
    </row>
    <row r="10" spans="1:22" x14ac:dyDescent="0.2">
      <c r="A10" t="s">
        <v>34</v>
      </c>
      <c r="B10" s="3" t="s">
        <v>56</v>
      </c>
      <c r="C10" s="3" t="s">
        <v>94</v>
      </c>
      <c r="D10" s="3" t="s">
        <v>95</v>
      </c>
      <c r="E10" s="3" t="s">
        <v>96</v>
      </c>
      <c r="F10" s="3" t="s">
        <v>97</v>
      </c>
      <c r="G10" s="3" t="s">
        <v>98</v>
      </c>
      <c r="H10" s="3" t="s">
        <v>99</v>
      </c>
      <c r="I10" s="3" t="s">
        <v>56</v>
      </c>
      <c r="J10" s="3" t="s">
        <v>94</v>
      </c>
      <c r="K10" s="3" t="s">
        <v>95</v>
      </c>
      <c r="L10" s="3" t="s">
        <v>96</v>
      </c>
      <c r="M10" s="3" t="s">
        <v>97</v>
      </c>
      <c r="N10" s="3" t="s">
        <v>98</v>
      </c>
      <c r="O10" s="3" t="s">
        <v>99</v>
      </c>
      <c r="P10" s="3" t="s">
        <v>56</v>
      </c>
      <c r="Q10" s="3" t="s">
        <v>94</v>
      </c>
      <c r="R10" s="3" t="s">
        <v>95</v>
      </c>
      <c r="S10" s="3" t="s">
        <v>96</v>
      </c>
      <c r="T10" s="3" t="s">
        <v>97</v>
      </c>
      <c r="U10" s="3" t="s">
        <v>98</v>
      </c>
      <c r="V10" s="3" t="s">
        <v>99</v>
      </c>
    </row>
    <row r="11" spans="1:22" x14ac:dyDescent="0.2">
      <c r="A11" t="s">
        <v>71</v>
      </c>
      <c r="B11" s="15">
        <f>J3</f>
        <v>130073</v>
      </c>
      <c r="C11" s="15">
        <f t="shared" ref="C11:D14" si="0">B11*(1+$B$19)</f>
        <v>134300.3725</v>
      </c>
      <c r="D11" s="15">
        <f t="shared" si="0"/>
        <v>138665.13460624998</v>
      </c>
      <c r="E11" s="15">
        <f t="shared" ref="E11:G11" si="1">D11*(1+$B$19)</f>
        <v>143171.7514809531</v>
      </c>
      <c r="F11" s="15">
        <f t="shared" si="1"/>
        <v>147824.83340408406</v>
      </c>
      <c r="G11" s="15">
        <f t="shared" si="1"/>
        <v>152629.14048971678</v>
      </c>
      <c r="H11" s="15">
        <f>G11*(1+$B$19)</f>
        <v>157589.58755563258</v>
      </c>
      <c r="I11" s="15">
        <f>L3</f>
        <v>63523</v>
      </c>
      <c r="J11" s="15">
        <f>I11*(1+$B$20)</f>
        <v>65627.393614970802</v>
      </c>
      <c r="K11" s="15">
        <f>J11*(1+$B$20)</f>
        <v>67801.501703230504</v>
      </c>
      <c r="L11" s="15">
        <f t="shared" ref="L11:O11" si="2">K11*(1+$B$20)</f>
        <v>70047.633769878972</v>
      </c>
      <c r="M11" s="15">
        <f t="shared" si="2"/>
        <v>72368.17582943452</v>
      </c>
      <c r="N11" s="15">
        <f t="shared" si="2"/>
        <v>74765.592940442293</v>
      </c>
      <c r="O11" s="15">
        <f t="shared" si="2"/>
        <v>77242.431824049389</v>
      </c>
      <c r="P11" s="15">
        <f>SUM(B11,I11)</f>
        <v>193596</v>
      </c>
      <c r="Q11" s="15">
        <f t="shared" ref="Q11:V14" si="3">SUM(C11,J11)</f>
        <v>199927.76611497079</v>
      </c>
      <c r="R11" s="15">
        <f t="shared" si="3"/>
        <v>206466.63630948047</v>
      </c>
      <c r="S11" s="15">
        <f t="shared" si="3"/>
        <v>213219.38525083207</v>
      </c>
      <c r="T11" s="15">
        <f>SUM(F11,M11)</f>
        <v>220193.00923351856</v>
      </c>
      <c r="U11" s="15">
        <f t="shared" si="3"/>
        <v>227394.73343015907</v>
      </c>
      <c r="V11" s="15">
        <f t="shared" si="3"/>
        <v>234832.01937968197</v>
      </c>
    </row>
    <row r="12" spans="1:22" x14ac:dyDescent="0.2">
      <c r="A12" t="s">
        <v>30</v>
      </c>
      <c r="B12" s="15">
        <f>J4</f>
        <v>132892</v>
      </c>
      <c r="C12" s="15">
        <f t="shared" si="0"/>
        <v>137210.99</v>
      </c>
      <c r="D12" s="15">
        <f t="shared" si="0"/>
        <v>141670.34717499997</v>
      </c>
      <c r="E12" s="15">
        <f t="shared" ref="E12:H12" si="4">D12*(1+$B$19)</f>
        <v>146274.63345818745</v>
      </c>
      <c r="F12" s="15">
        <f t="shared" si="4"/>
        <v>151028.55904557856</v>
      </c>
      <c r="G12" s="15">
        <f t="shared" si="4"/>
        <v>155936.98721455986</v>
      </c>
      <c r="H12" s="15">
        <f t="shared" si="4"/>
        <v>161004.93929903305</v>
      </c>
      <c r="I12" s="15">
        <f>L4</f>
        <v>64492</v>
      </c>
      <c r="J12" s="15">
        <f>I12*(1+$B$20)</f>
        <v>66628.494702968965</v>
      </c>
      <c r="K12" s="15">
        <f t="shared" ref="K12:O12" si="5">J12*(1+$B$20)</f>
        <v>68835.767325925131</v>
      </c>
      <c r="L12" s="15">
        <f t="shared" si="5"/>
        <v>71116.162603892051</v>
      </c>
      <c r="M12" s="15">
        <f t="shared" si="5"/>
        <v>73472.102948410669</v>
      </c>
      <c r="N12" s="15">
        <f t="shared" si="5"/>
        <v>75906.091020811422</v>
      </c>
      <c r="O12" s="15">
        <f t="shared" si="5"/>
        <v>78420.712390733941</v>
      </c>
      <c r="P12" s="15">
        <f>SUM(B12,I12)</f>
        <v>197384</v>
      </c>
      <c r="Q12" s="15">
        <f t="shared" si="3"/>
        <v>203839.48470296897</v>
      </c>
      <c r="R12" s="15">
        <f t="shared" si="3"/>
        <v>210506.11450092512</v>
      </c>
      <c r="S12" s="15">
        <f t="shared" si="3"/>
        <v>217390.79606207949</v>
      </c>
      <c r="T12" s="15">
        <f t="shared" si="3"/>
        <v>224500.66199398923</v>
      </c>
      <c r="U12" s="15">
        <f t="shared" si="3"/>
        <v>231843.07823537127</v>
      </c>
      <c r="V12" s="15">
        <f t="shared" si="3"/>
        <v>239425.65168976699</v>
      </c>
    </row>
    <row r="13" spans="1:22" x14ac:dyDescent="0.2">
      <c r="A13" t="s">
        <v>31</v>
      </c>
      <c r="B13" s="15">
        <f>J5</f>
        <v>73794</v>
      </c>
      <c r="C13" s="15">
        <f t="shared" si="0"/>
        <v>76192.304999999993</v>
      </c>
      <c r="D13" s="15">
        <f t="shared" si="0"/>
        <v>78668.554912499996</v>
      </c>
      <c r="E13" s="15">
        <f t="shared" ref="E13:H13" si="6">D13*(1+$B$19)</f>
        <v>81225.282947156244</v>
      </c>
      <c r="F13" s="15">
        <f t="shared" si="6"/>
        <v>83865.104642938823</v>
      </c>
      <c r="G13" s="15">
        <f t="shared" si="6"/>
        <v>86590.720543834337</v>
      </c>
      <c r="H13" s="15">
        <f t="shared" si="6"/>
        <v>89404.918961508956</v>
      </c>
      <c r="I13" s="15">
        <f>L5</f>
        <v>42864</v>
      </c>
      <c r="J13" s="15">
        <f>I13*(1+$B$20)</f>
        <v>44284.001069094797</v>
      </c>
      <c r="K13" s="15">
        <f t="shared" ref="K13:O13" si="7">J13*(1+$B$20)</f>
        <v>45751.044015667903</v>
      </c>
      <c r="L13" s="15">
        <f t="shared" si="7"/>
        <v>47266.687245754954</v>
      </c>
      <c r="M13" s="15">
        <f t="shared" si="7"/>
        <v>48832.540792356798</v>
      </c>
      <c r="N13" s="15">
        <f t="shared" si="7"/>
        <v>50450.268025740566</v>
      </c>
      <c r="O13" s="15">
        <f t="shared" si="7"/>
        <v>52121.587420399737</v>
      </c>
      <c r="P13" s="15">
        <f>SUM(B13,I13)</f>
        <v>116658</v>
      </c>
      <c r="Q13" s="15">
        <f t="shared" si="3"/>
        <v>120476.30606909479</v>
      </c>
      <c r="R13" s="15">
        <f t="shared" si="3"/>
        <v>124419.59892816789</v>
      </c>
      <c r="S13" s="15">
        <f t="shared" si="3"/>
        <v>128491.97019291119</v>
      </c>
      <c r="T13" s="15">
        <f t="shared" si="3"/>
        <v>132697.64543529562</v>
      </c>
      <c r="U13" s="15">
        <f t="shared" si="3"/>
        <v>137040.9885695749</v>
      </c>
      <c r="V13" s="15">
        <f t="shared" si="3"/>
        <v>141526.50638190869</v>
      </c>
    </row>
    <row r="14" spans="1:22" x14ac:dyDescent="0.2">
      <c r="A14" s="24" t="s">
        <v>74</v>
      </c>
      <c r="B14" s="15">
        <f>J6</f>
        <v>82430</v>
      </c>
      <c r="C14" s="15">
        <f t="shared" si="0"/>
        <v>85108.974999999991</v>
      </c>
      <c r="D14" s="15">
        <f t="shared" si="0"/>
        <v>87875.016687499985</v>
      </c>
      <c r="E14" s="15">
        <f t="shared" ref="E14:H14" si="8">D14*(1+$B$19)</f>
        <v>90730.954729843739</v>
      </c>
      <c r="F14" s="15">
        <f t="shared" si="8"/>
        <v>93679.710758563655</v>
      </c>
      <c r="G14" s="15">
        <f t="shared" si="8"/>
        <v>96724.301358216966</v>
      </c>
      <c r="H14" s="15">
        <f t="shared" si="8"/>
        <v>99867.841152359018</v>
      </c>
      <c r="I14" s="15">
        <f>L6</f>
        <v>45716</v>
      </c>
      <c r="J14" s="15">
        <f>I14*(1+$B$20)</f>
        <v>47230.482289910826</v>
      </c>
      <c r="K14" s="15">
        <f t="shared" ref="K14:O14" si="9">J14*(1+$B$20)</f>
        <v>48795.136436643195</v>
      </c>
      <c r="L14" s="15">
        <f t="shared" si="9"/>
        <v>50411.624536369301</v>
      </c>
      <c r="M14" s="15">
        <f t="shared" si="9"/>
        <v>52081.663747279388</v>
      </c>
      <c r="N14" s="15">
        <f t="shared" si="9"/>
        <v>53807.028113679451</v>
      </c>
      <c r="O14" s="15">
        <f t="shared" si="9"/>
        <v>55589.550450517789</v>
      </c>
      <c r="P14" s="15">
        <f>SUM(B14,I14)</f>
        <v>128146</v>
      </c>
      <c r="Q14" s="15">
        <f t="shared" si="3"/>
        <v>132339.45728991082</v>
      </c>
      <c r="R14" s="15">
        <f t="shared" si="3"/>
        <v>136670.15312414319</v>
      </c>
      <c r="S14" s="15">
        <f t="shared" si="3"/>
        <v>141142.57926621306</v>
      </c>
      <c r="T14" s="15">
        <f t="shared" si="3"/>
        <v>145761.37450584304</v>
      </c>
      <c r="U14" s="15">
        <f t="shared" si="3"/>
        <v>150531.3294718964</v>
      </c>
      <c r="V14" s="15">
        <f t="shared" si="3"/>
        <v>155457.3916028768</v>
      </c>
    </row>
    <row r="15" spans="1:22" x14ac:dyDescent="0.2">
      <c r="C15" s="24"/>
      <c r="D15" s="3"/>
      <c r="F15" s="3"/>
      <c r="G15" s="3"/>
      <c r="H15" s="15"/>
      <c r="I15" s="15"/>
      <c r="J15" s="15"/>
      <c r="K15" s="23"/>
      <c r="L15" s="15"/>
      <c r="M15" s="23"/>
      <c r="N15" s="15"/>
    </row>
    <row r="16" spans="1:22" x14ac:dyDescent="0.2">
      <c r="C16" s="24"/>
      <c r="D16" s="3"/>
      <c r="F16" s="3"/>
      <c r="G16" s="3"/>
      <c r="H16" s="15"/>
      <c r="I16" s="15"/>
      <c r="J16" s="15"/>
      <c r="K16" s="23"/>
      <c r="L16" s="15"/>
      <c r="M16" s="23"/>
      <c r="N16" s="15"/>
    </row>
    <row r="17" spans="1:11" x14ac:dyDescent="0.2">
      <c r="H17" s="15"/>
      <c r="I17" s="15"/>
      <c r="J17" s="15"/>
      <c r="K17" s="15"/>
    </row>
    <row r="18" spans="1:11" ht="18" x14ac:dyDescent="0.2">
      <c r="A18" s="20" t="s">
        <v>92</v>
      </c>
      <c r="B18" s="21"/>
      <c r="C18" s="21"/>
      <c r="D18" s="21"/>
      <c r="E18" s="21"/>
      <c r="F18" s="21"/>
      <c r="G18" s="21"/>
      <c r="H18" s="22"/>
      <c r="I18" s="22"/>
      <c r="J18" s="22"/>
      <c r="K18" s="15"/>
    </row>
    <row r="19" spans="1:11" ht="14.25" x14ac:dyDescent="0.2">
      <c r="A19" s="45" t="s">
        <v>63</v>
      </c>
      <c r="B19" s="19">
        <v>3.2500000000000001E-2</v>
      </c>
      <c r="C19" s="18"/>
      <c r="D19" s="18"/>
      <c r="E19" s="18"/>
      <c r="F19" s="18"/>
      <c r="G19" s="18"/>
      <c r="H19" s="18"/>
      <c r="I19" s="18"/>
      <c r="J19" s="18"/>
      <c r="K19" s="15"/>
    </row>
    <row r="20" spans="1:11" x14ac:dyDescent="0.2">
      <c r="A20" s="46" t="s">
        <v>66</v>
      </c>
      <c r="B20" s="19">
        <f>H31</f>
        <v>3.3128057789632293E-2</v>
      </c>
      <c r="C20" s="18"/>
      <c r="D20" s="18"/>
      <c r="E20" s="18"/>
      <c r="F20" s="18"/>
      <c r="G20" s="18"/>
      <c r="H20" s="18"/>
      <c r="I20" s="18"/>
      <c r="J20" s="18"/>
      <c r="K20" s="15"/>
    </row>
    <row r="21" spans="1:11" x14ac:dyDescent="0.2">
      <c r="A21" s="18"/>
      <c r="B21" s="18"/>
      <c r="C21" s="18"/>
      <c r="D21" s="18"/>
      <c r="E21" s="18"/>
      <c r="F21" s="18"/>
      <c r="G21" s="18"/>
      <c r="H21" s="18"/>
      <c r="I21" s="18"/>
      <c r="J21" s="18"/>
      <c r="K21" s="15"/>
    </row>
    <row r="22" spans="1:11" x14ac:dyDescent="0.2">
      <c r="A22" t="s">
        <v>34</v>
      </c>
      <c r="B22" s="3" t="s">
        <v>48</v>
      </c>
      <c r="C22" s="3" t="s">
        <v>39</v>
      </c>
      <c r="D22" s="3" t="s">
        <v>44</v>
      </c>
      <c r="E22" s="3" t="s">
        <v>8</v>
      </c>
      <c r="F22" s="3" t="s">
        <v>49</v>
      </c>
      <c r="G22" s="3" t="s">
        <v>45</v>
      </c>
      <c r="H22" s="15" t="s">
        <v>49</v>
      </c>
      <c r="I22" s="15" t="s">
        <v>11</v>
      </c>
      <c r="J22" s="15" t="s">
        <v>49</v>
      </c>
      <c r="K22" s="15"/>
    </row>
    <row r="23" spans="1:11" x14ac:dyDescent="0.2">
      <c r="A23" t="s">
        <v>30</v>
      </c>
      <c r="B23" t="s">
        <v>50</v>
      </c>
      <c r="C23" s="15">
        <v>101371</v>
      </c>
      <c r="D23" s="15">
        <v>0</v>
      </c>
      <c r="E23" s="15">
        <f>SUM(C23:D23)</f>
        <v>101371</v>
      </c>
      <c r="F23" s="17"/>
      <c r="G23" s="15">
        <v>51047</v>
      </c>
      <c r="H23" s="17"/>
      <c r="I23" s="15">
        <f>SUM(E23,G23)</f>
        <v>152418</v>
      </c>
      <c r="J23" s="17"/>
      <c r="K23" s="15"/>
    </row>
    <row r="24" spans="1:11" x14ac:dyDescent="0.2">
      <c r="A24" t="s">
        <v>30</v>
      </c>
      <c r="B24" t="s">
        <v>51</v>
      </c>
      <c r="C24" s="15">
        <v>105830</v>
      </c>
      <c r="D24" s="15">
        <v>1421</v>
      </c>
      <c r="E24" s="15">
        <f>SUM(C24:D24)</f>
        <v>107251</v>
      </c>
      <c r="F24" s="17">
        <f>(E24-E23)/E23</f>
        <v>5.8004754811533873E-2</v>
      </c>
      <c r="G24" s="15">
        <v>52863</v>
      </c>
      <c r="H24" s="17">
        <f>(G24-G23)/G23</f>
        <v>3.5575058279624656E-2</v>
      </c>
      <c r="I24" s="15">
        <f>SUM(E24,G24)</f>
        <v>160114</v>
      </c>
      <c r="J24" s="17">
        <f>(I24-I23)/I23</f>
        <v>5.0492723956488079E-2</v>
      </c>
      <c r="K24" s="15"/>
    </row>
    <row r="25" spans="1:11" x14ac:dyDescent="0.2">
      <c r="A25" t="s">
        <v>30</v>
      </c>
      <c r="B25" t="s">
        <v>52</v>
      </c>
      <c r="C25" s="15">
        <f>5304.5*12</f>
        <v>63654</v>
      </c>
      <c r="D25" s="15"/>
      <c r="E25" s="15">
        <f t="shared" ref="E25:E29" si="10">SUM(C25:D25)</f>
        <v>63654</v>
      </c>
      <c r="F25" s="17" t="s">
        <v>60</v>
      </c>
      <c r="G25" s="15"/>
      <c r="H25" s="17" t="s">
        <v>60</v>
      </c>
      <c r="I25" s="15">
        <f t="shared" ref="I25:I29" si="11">SUM(E25,G25)</f>
        <v>63654</v>
      </c>
      <c r="J25" s="17" t="s">
        <v>60</v>
      </c>
      <c r="K25" s="15"/>
    </row>
    <row r="26" spans="1:11" x14ac:dyDescent="0.2">
      <c r="A26" t="s">
        <v>30</v>
      </c>
      <c r="B26" t="s">
        <v>53</v>
      </c>
      <c r="C26" s="15">
        <v>105852</v>
      </c>
      <c r="D26" s="15">
        <v>0</v>
      </c>
      <c r="E26" s="15">
        <f t="shared" si="10"/>
        <v>105852</v>
      </c>
      <c r="F26" s="17" t="s">
        <v>60</v>
      </c>
      <c r="G26" s="15">
        <v>52560</v>
      </c>
      <c r="H26" s="17" t="s">
        <v>60</v>
      </c>
      <c r="I26" s="15">
        <f t="shared" si="11"/>
        <v>158412</v>
      </c>
      <c r="J26" s="17" t="s">
        <v>60</v>
      </c>
    </row>
    <row r="27" spans="1:11" x14ac:dyDescent="0.2">
      <c r="A27" t="s">
        <v>30</v>
      </c>
      <c r="B27" t="s">
        <v>54</v>
      </c>
      <c r="C27" s="15">
        <v>120659</v>
      </c>
      <c r="D27" s="15">
        <v>0</v>
      </c>
      <c r="E27" s="15">
        <f t="shared" si="10"/>
        <v>120659</v>
      </c>
      <c r="F27" s="17">
        <f t="shared" ref="F27:F29" si="12">(E27-E26)/E26</f>
        <v>0.13988398896572574</v>
      </c>
      <c r="G27" s="15">
        <v>60449</v>
      </c>
      <c r="H27" s="17">
        <f t="shared" ref="H27:H29" si="13">(G27-G26)/G26</f>
        <v>0.15009512937595129</v>
      </c>
      <c r="I27" s="15">
        <f t="shared" si="11"/>
        <v>181108</v>
      </c>
      <c r="J27" s="17">
        <f t="shared" ref="J27:J29" si="14">(I27-I26)/I26</f>
        <v>0.14327197434537786</v>
      </c>
    </row>
    <row r="28" spans="1:11" x14ac:dyDescent="0.2">
      <c r="A28" t="s">
        <v>30</v>
      </c>
      <c r="B28" t="s">
        <v>55</v>
      </c>
      <c r="C28" s="15">
        <v>122424</v>
      </c>
      <c r="D28" s="15">
        <v>0</v>
      </c>
      <c r="E28" s="15">
        <f t="shared" si="10"/>
        <v>122424</v>
      </c>
      <c r="F28" s="17">
        <f t="shared" si="12"/>
        <v>1.462800122659727E-2</v>
      </c>
      <c r="G28" s="15">
        <v>61140</v>
      </c>
      <c r="H28" s="17">
        <f t="shared" si="13"/>
        <v>1.1431123757216827E-2</v>
      </c>
      <c r="I28" s="15">
        <f t="shared" si="11"/>
        <v>183564</v>
      </c>
      <c r="J28" s="17">
        <f t="shared" si="14"/>
        <v>1.3560969145482254E-2</v>
      </c>
    </row>
    <row r="29" spans="1:11" x14ac:dyDescent="0.2">
      <c r="A29" t="s">
        <v>30</v>
      </c>
      <c r="B29" t="s">
        <v>56</v>
      </c>
      <c r="C29" s="15">
        <v>132892</v>
      </c>
      <c r="D29" s="15">
        <v>0</v>
      </c>
      <c r="E29" s="15">
        <f t="shared" si="10"/>
        <v>132892</v>
      </c>
      <c r="F29" s="17">
        <f t="shared" si="12"/>
        <v>8.5506109913088935E-2</v>
      </c>
      <c r="G29" s="15">
        <v>64492</v>
      </c>
      <c r="H29" s="17">
        <f t="shared" si="13"/>
        <v>5.482499182204776E-2</v>
      </c>
      <c r="I29" s="15">
        <f t="shared" si="11"/>
        <v>197384</v>
      </c>
      <c r="J29" s="17">
        <f t="shared" si="14"/>
        <v>7.5287093329846816E-2</v>
      </c>
    </row>
    <row r="30" spans="1:11" x14ac:dyDescent="0.2">
      <c r="B30" t="s">
        <v>61</v>
      </c>
      <c r="F30" s="17">
        <f>AVERAGE(F27:F29)</f>
        <v>8.0006033368470647E-2</v>
      </c>
      <c r="H30" s="17">
        <f>AVERAGE(H27:H29)</f>
        <v>7.2117081651738621E-2</v>
      </c>
      <c r="J30" s="17">
        <f>AVERAGE(J27:J29)</f>
        <v>7.7373345606902302E-2</v>
      </c>
    </row>
    <row r="31" spans="1:11" x14ac:dyDescent="0.2">
      <c r="B31" t="s">
        <v>62</v>
      </c>
      <c r="F31" s="17">
        <f>AVERAGE(F28:F29)</f>
        <v>5.0067055569843102E-2</v>
      </c>
      <c r="H31" s="17">
        <f>AVERAGE(H28:H29)</f>
        <v>3.3128057789632293E-2</v>
      </c>
      <c r="J31" s="17">
        <f>AVERAGE(J28:J29)</f>
        <v>4.4424031237664537E-2</v>
      </c>
    </row>
    <row r="33" spans="1:10" x14ac:dyDescent="0.2">
      <c r="A33" t="s">
        <v>34</v>
      </c>
      <c r="B33" s="3" t="s">
        <v>48</v>
      </c>
      <c r="C33" s="3" t="s">
        <v>39</v>
      </c>
      <c r="D33" s="3" t="s">
        <v>44</v>
      </c>
      <c r="E33" s="3" t="s">
        <v>8</v>
      </c>
      <c r="F33" s="3" t="s">
        <v>49</v>
      </c>
      <c r="G33" s="3" t="s">
        <v>45</v>
      </c>
      <c r="H33" s="15" t="s">
        <v>49</v>
      </c>
      <c r="I33" s="15" t="s">
        <v>11</v>
      </c>
      <c r="J33" s="15" t="s">
        <v>49</v>
      </c>
    </row>
    <row r="34" spans="1:10" x14ac:dyDescent="0.2">
      <c r="A34" t="s">
        <v>31</v>
      </c>
      <c r="B34" t="s">
        <v>50</v>
      </c>
      <c r="C34" s="15">
        <v>75312</v>
      </c>
      <c r="D34" s="15">
        <v>0</v>
      </c>
      <c r="E34" s="15">
        <f>SUM(C34:D34)</f>
        <v>75312</v>
      </c>
      <c r="F34" s="17"/>
      <c r="G34" s="15">
        <v>42570</v>
      </c>
      <c r="H34" s="17"/>
      <c r="I34" s="15">
        <f>SUM(E34,G34)</f>
        <v>117882</v>
      </c>
      <c r="J34" s="17"/>
    </row>
    <row r="35" spans="1:10" x14ac:dyDescent="0.2">
      <c r="A35" t="s">
        <v>31</v>
      </c>
      <c r="B35" t="s">
        <v>51</v>
      </c>
      <c r="C35" s="15">
        <v>78567</v>
      </c>
      <c r="D35" s="15">
        <v>1055</v>
      </c>
      <c r="E35" s="15">
        <f>SUM(C35:D35)</f>
        <v>79622</v>
      </c>
      <c r="F35" s="17">
        <f>(E35-E34)/E34</f>
        <v>5.722859570851923E-2</v>
      </c>
      <c r="G35" s="15">
        <v>43707</v>
      </c>
      <c r="H35" s="17">
        <f>(G35-G34)/G34</f>
        <v>2.6708949964763917E-2</v>
      </c>
      <c r="I35" s="15">
        <f>SUM(E35,G35)</f>
        <v>123329</v>
      </c>
      <c r="J35" s="17">
        <f>(I35-I34)/I34</f>
        <v>4.6207224173325866E-2</v>
      </c>
    </row>
    <row r="36" spans="1:10" x14ac:dyDescent="0.2">
      <c r="A36" t="s">
        <v>31</v>
      </c>
      <c r="B36" t="s">
        <v>52</v>
      </c>
      <c r="C36" s="15"/>
      <c r="D36" s="15"/>
      <c r="E36" s="15">
        <f t="shared" ref="E36:E40" si="15">SUM(C36:D36)</f>
        <v>0</v>
      </c>
      <c r="F36" s="17" t="s">
        <v>60</v>
      </c>
      <c r="G36" s="15"/>
      <c r="H36" s="17" t="s">
        <v>60</v>
      </c>
      <c r="I36" s="15">
        <f t="shared" ref="I36:I40" si="16">SUM(E36,G36)</f>
        <v>0</v>
      </c>
      <c r="J36" s="17" t="s">
        <v>60</v>
      </c>
    </row>
    <row r="37" spans="1:10" x14ac:dyDescent="0.2">
      <c r="A37" t="s">
        <v>31</v>
      </c>
      <c r="B37" t="s">
        <v>53</v>
      </c>
      <c r="C37" s="15">
        <v>84141</v>
      </c>
      <c r="D37" s="15">
        <v>0</v>
      </c>
      <c r="E37" s="15">
        <f t="shared" si="15"/>
        <v>84141</v>
      </c>
      <c r="F37" s="17" t="s">
        <v>60</v>
      </c>
      <c r="G37" s="15">
        <v>45607</v>
      </c>
      <c r="H37" s="17" t="s">
        <v>60</v>
      </c>
      <c r="I37" s="15">
        <f t="shared" si="16"/>
        <v>129748</v>
      </c>
      <c r="J37" s="17" t="s">
        <v>60</v>
      </c>
    </row>
    <row r="38" spans="1:10" x14ac:dyDescent="0.2">
      <c r="A38" t="s">
        <v>31</v>
      </c>
      <c r="B38" t="s">
        <v>54</v>
      </c>
      <c r="C38" s="15">
        <v>67794</v>
      </c>
      <c r="D38" s="15">
        <v>0</v>
      </c>
      <c r="E38" s="15">
        <f t="shared" si="15"/>
        <v>67794</v>
      </c>
      <c r="F38" s="17">
        <f t="shared" ref="F38:F40" si="17">(E38-E37)/E37</f>
        <v>-0.1942810282739687</v>
      </c>
      <c r="G38" s="15">
        <v>40189</v>
      </c>
      <c r="H38" s="17">
        <f t="shared" ref="H38:H40" si="18">(G38-G37)/G37</f>
        <v>-0.1187975530072138</v>
      </c>
      <c r="I38" s="15">
        <f t="shared" si="16"/>
        <v>107983</v>
      </c>
      <c r="J38" s="17">
        <f t="shared" ref="J38:J40" si="19">(I38-I37)/I37</f>
        <v>-0.16774825045472763</v>
      </c>
    </row>
    <row r="39" spans="1:10" x14ac:dyDescent="0.2">
      <c r="A39" t="s">
        <v>31</v>
      </c>
      <c r="B39" t="s">
        <v>55</v>
      </c>
      <c r="C39" s="15">
        <v>68435</v>
      </c>
      <c r="D39" s="15">
        <v>0</v>
      </c>
      <c r="E39" s="15">
        <f t="shared" si="15"/>
        <v>68435</v>
      </c>
      <c r="F39" s="17">
        <f t="shared" si="17"/>
        <v>9.4551140218898429E-3</v>
      </c>
      <c r="G39" s="15">
        <v>40965</v>
      </c>
      <c r="H39" s="17">
        <f t="shared" si="18"/>
        <v>1.9308766080270722E-2</v>
      </c>
      <c r="I39" s="15">
        <f t="shared" si="16"/>
        <v>109400</v>
      </c>
      <c r="J39" s="17">
        <f t="shared" si="19"/>
        <v>1.3122435938990396E-2</v>
      </c>
    </row>
    <row r="40" spans="1:10" x14ac:dyDescent="0.2">
      <c r="A40" t="s">
        <v>31</v>
      </c>
      <c r="B40" t="s">
        <v>56</v>
      </c>
      <c r="C40" s="15">
        <v>70935</v>
      </c>
      <c r="D40" s="15">
        <v>2895</v>
      </c>
      <c r="E40" s="15">
        <f t="shared" si="15"/>
        <v>73830</v>
      </c>
      <c r="F40" s="17">
        <f t="shared" si="17"/>
        <v>7.8833930006575584E-2</v>
      </c>
      <c r="G40" s="15">
        <v>42864</v>
      </c>
      <c r="H40" s="17">
        <f t="shared" si="18"/>
        <v>4.6356645917246427E-2</v>
      </c>
      <c r="I40" s="15">
        <f t="shared" si="16"/>
        <v>116694</v>
      </c>
      <c r="J40" s="17">
        <f t="shared" si="19"/>
        <v>6.6672760511882992E-2</v>
      </c>
    </row>
    <row r="41" spans="1:10" x14ac:dyDescent="0.2">
      <c r="B41" t="s">
        <v>61</v>
      </c>
      <c r="F41" s="17">
        <f>AVERAGE(F38:F40)</f>
        <v>-3.5330661415167761E-2</v>
      </c>
      <c r="H41" s="17">
        <f>AVERAGE(H38:H40)</f>
        <v>-1.7710713669898882E-2</v>
      </c>
      <c r="J41" s="17">
        <f>AVERAGE(J38:J40)</f>
        <v>-2.9317684667951413E-2</v>
      </c>
    </row>
    <row r="42" spans="1:10" x14ac:dyDescent="0.2">
      <c r="B42" t="s">
        <v>62</v>
      </c>
      <c r="F42" s="17">
        <f>AVERAGE(F39:F40)</f>
        <v>4.4144522014232711E-2</v>
      </c>
      <c r="H42" s="17">
        <f>AVERAGE(H39:H40)</f>
        <v>3.2832705998758573E-2</v>
      </c>
      <c r="J42" s="17">
        <f>AVERAGE(J39:J40)</f>
        <v>3.9897598225436696E-2</v>
      </c>
    </row>
  </sheetData>
  <phoneticPr fontId="5" type="noConversion"/>
  <pageMargins left="0.7" right="0.7" top="0.8833333333333333" bottom="0.75" header="0.3" footer="0.3"/>
  <pageSetup paperSize="4" scale="53" fitToHeight="0" orientation="landscape" horizontalDpi="1200" verticalDpi="1200" r:id="rId1"/>
  <headerFooter>
    <oddHeader>&amp;L&amp;G&amp;C&amp;14Building Systems Standards Cost Benefit Analysis&amp;R&amp;9&amp;D</oddHeader>
    <oddFooter>&amp;L&amp;9Dept. of Education and Early Development&amp;C&amp;9&amp;A&amp;R&amp;9Page &amp;P of &amp;N</oddFooter>
  </headerFooter>
  <ignoredErrors>
    <ignoredError sqref="I35:I40 I24:I29" 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14F15-DCBA-4446-BA4D-9E9C659D561C}">
  <sheetPr>
    <pageSetUpPr fitToPage="1"/>
  </sheetPr>
  <dimension ref="A1:D25"/>
  <sheetViews>
    <sheetView view="pageLayout" zoomScaleNormal="100" workbookViewId="0">
      <selection activeCell="B12" sqref="B12"/>
    </sheetView>
  </sheetViews>
  <sheetFormatPr defaultRowHeight="12.75" x14ac:dyDescent="0.2"/>
  <cols>
    <col min="1" max="1" width="14.28515625" bestFit="1" customWidth="1"/>
    <col min="2" max="2" width="41.7109375" customWidth="1"/>
    <col min="3" max="3" width="77.5703125" bestFit="1" customWidth="1"/>
    <col min="4" max="4" width="31.7109375" customWidth="1"/>
  </cols>
  <sheetData>
    <row r="1" spans="1:4" x14ac:dyDescent="0.2">
      <c r="A1" t="s">
        <v>25</v>
      </c>
      <c r="B1" t="s">
        <v>26</v>
      </c>
      <c r="C1" t="s">
        <v>28</v>
      </c>
      <c r="D1" t="s">
        <v>27</v>
      </c>
    </row>
    <row r="2" spans="1:4" ht="25.5" x14ac:dyDescent="0.2">
      <c r="A2" s="14">
        <v>1</v>
      </c>
      <c r="B2" s="13" t="s">
        <v>29</v>
      </c>
      <c r="C2" s="12" t="s">
        <v>1</v>
      </c>
      <c r="D2" s="12"/>
    </row>
    <row r="3" spans="1:4" ht="25.5" x14ac:dyDescent="0.2">
      <c r="A3" s="14">
        <v>2</v>
      </c>
      <c r="B3" s="13" t="s">
        <v>57</v>
      </c>
      <c r="C3" s="16" t="s">
        <v>58</v>
      </c>
      <c r="D3" s="13" t="s">
        <v>59</v>
      </c>
    </row>
    <row r="4" spans="1:4" ht="25.5" x14ac:dyDescent="0.2">
      <c r="A4" s="14">
        <v>3</v>
      </c>
      <c r="B4" s="13" t="s">
        <v>64</v>
      </c>
      <c r="C4" s="16" t="s">
        <v>65</v>
      </c>
      <c r="D4" s="12"/>
    </row>
    <row r="5" spans="1:4" ht="38.25" x14ac:dyDescent="0.2">
      <c r="A5" s="14">
        <v>4</v>
      </c>
      <c r="B5" s="12" t="s">
        <v>79</v>
      </c>
      <c r="C5" s="12" t="s">
        <v>60</v>
      </c>
      <c r="D5" s="13" t="s">
        <v>80</v>
      </c>
    </row>
    <row r="6" spans="1:4" ht="25.5" x14ac:dyDescent="0.2">
      <c r="A6" s="14">
        <v>5</v>
      </c>
      <c r="B6" s="12" t="s">
        <v>60</v>
      </c>
      <c r="C6" s="12" t="s">
        <v>60</v>
      </c>
      <c r="D6" s="13" t="s">
        <v>82</v>
      </c>
    </row>
    <row r="7" spans="1:4" ht="25.5" x14ac:dyDescent="0.2">
      <c r="A7" s="14">
        <v>6</v>
      </c>
      <c r="B7" s="13" t="s">
        <v>85</v>
      </c>
      <c r="C7" s="16" t="s">
        <v>84</v>
      </c>
      <c r="D7" s="12" t="s">
        <v>86</v>
      </c>
    </row>
    <row r="8" spans="1:4" x14ac:dyDescent="0.2">
      <c r="A8" s="12"/>
      <c r="B8" s="12"/>
      <c r="C8" s="12"/>
      <c r="D8" s="12"/>
    </row>
    <row r="9" spans="1:4" x14ac:dyDescent="0.2">
      <c r="A9" s="12"/>
      <c r="B9" s="12"/>
      <c r="C9" s="12"/>
      <c r="D9" s="12"/>
    </row>
    <row r="10" spans="1:4" x14ac:dyDescent="0.2">
      <c r="A10" s="12"/>
      <c r="B10" s="12"/>
      <c r="C10" s="12"/>
      <c r="D10" s="12"/>
    </row>
    <row r="11" spans="1:4" x14ac:dyDescent="0.2">
      <c r="A11" s="12"/>
      <c r="B11" s="12"/>
      <c r="C11" s="12"/>
      <c r="D11" s="12"/>
    </row>
    <row r="12" spans="1:4" x14ac:dyDescent="0.2">
      <c r="A12" s="12"/>
      <c r="B12" s="12"/>
      <c r="C12" s="12"/>
      <c r="D12" s="12"/>
    </row>
    <row r="13" spans="1:4" x14ac:dyDescent="0.2">
      <c r="A13" s="12"/>
      <c r="B13" s="12"/>
      <c r="C13" s="12"/>
      <c r="D13" s="12"/>
    </row>
    <row r="14" spans="1:4" x14ac:dyDescent="0.2">
      <c r="A14" s="12"/>
      <c r="B14" s="12"/>
      <c r="C14" s="12"/>
      <c r="D14" s="12"/>
    </row>
    <row r="15" spans="1:4" x14ac:dyDescent="0.2">
      <c r="A15" s="12"/>
      <c r="B15" s="12"/>
      <c r="C15" s="12"/>
      <c r="D15" s="12"/>
    </row>
    <row r="16" spans="1:4" x14ac:dyDescent="0.2">
      <c r="A16" s="12"/>
      <c r="B16" s="12"/>
      <c r="C16" s="12"/>
      <c r="D16" s="12"/>
    </row>
    <row r="17" spans="1:4" x14ac:dyDescent="0.2">
      <c r="A17" s="12"/>
      <c r="B17" s="12"/>
      <c r="C17" s="12"/>
      <c r="D17" s="12"/>
    </row>
    <row r="18" spans="1:4" x14ac:dyDescent="0.2">
      <c r="A18" s="12"/>
      <c r="B18" s="12"/>
      <c r="C18" s="12"/>
      <c r="D18" s="12"/>
    </row>
    <row r="19" spans="1:4" x14ac:dyDescent="0.2">
      <c r="A19" s="12"/>
      <c r="B19" s="12"/>
      <c r="C19" s="12"/>
      <c r="D19" s="12"/>
    </row>
    <row r="20" spans="1:4" x14ac:dyDescent="0.2">
      <c r="A20" s="12"/>
      <c r="B20" s="12"/>
      <c r="C20" s="12"/>
      <c r="D20" s="12"/>
    </row>
    <row r="21" spans="1:4" x14ac:dyDescent="0.2">
      <c r="A21" s="12"/>
      <c r="B21" s="12"/>
      <c r="C21" s="12"/>
      <c r="D21" s="12"/>
    </row>
    <row r="22" spans="1:4" x14ac:dyDescent="0.2">
      <c r="A22" s="12"/>
      <c r="B22" s="12"/>
      <c r="C22" s="12"/>
      <c r="D22" s="12"/>
    </row>
    <row r="23" spans="1:4" x14ac:dyDescent="0.2">
      <c r="A23" s="12"/>
      <c r="B23" s="12"/>
      <c r="C23" s="12"/>
      <c r="D23" s="12"/>
    </row>
    <row r="24" spans="1:4" x14ac:dyDescent="0.2">
      <c r="A24" s="12"/>
      <c r="B24" s="12"/>
      <c r="C24" s="12"/>
      <c r="D24" s="12"/>
    </row>
    <row r="25" spans="1:4" x14ac:dyDescent="0.2">
      <c r="A25" s="12"/>
      <c r="B25" s="12"/>
      <c r="C25" s="12"/>
      <c r="D25" s="12"/>
    </row>
  </sheetData>
  <hyperlinks>
    <hyperlink ref="C3" r:id="rId1" xr:uid="{5DE14295-B15F-47BF-A560-A5BBA2DCEEB9}"/>
    <hyperlink ref="C4" r:id="rId2" xr:uid="{A34871CC-6C8C-48DE-BE68-776A00887104}"/>
    <hyperlink ref="C7" r:id="rId3" xr:uid="{3F8A5831-1790-4C8B-8331-26065A3E5AE6}"/>
  </hyperlinks>
  <pageMargins left="0.7" right="0.7" top="1.1068750000000001" bottom="0.75" header="0.3" footer="0.3"/>
  <pageSetup scale="77" fitToHeight="0" orientation="landscape" horizontalDpi="1200" verticalDpi="1200" r:id="rId4"/>
  <headerFooter>
    <oddHeader>&amp;L&amp;G&amp;C&amp;14Building Systems Standards Cost Benefit Analysis&amp;R&amp;D</oddHeader>
    <oddFooter>&amp;L&amp;9Dept. of Education and Early Development&amp;C&amp;A&amp;RPage &amp;P of &amp;N</oddFooter>
  </headerFooter>
  <legacyDrawingHF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F670F-994C-4149-935A-0578AA20AE86}">
  <dimension ref="A1"/>
  <sheetViews>
    <sheetView workbookViewId="0"/>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Summary</vt:lpstr>
      <vt:lpstr>Development Costs</vt:lpstr>
      <vt:lpstr>Update Costs</vt:lpstr>
      <vt:lpstr>Cost Scenarios</vt:lpstr>
      <vt:lpstr>Benefits</vt:lpstr>
      <vt:lpstr>Staff Costs</vt:lpstr>
      <vt:lpstr>Sources</vt:lpstr>
      <vt:lpstr>Benefits!Print_Area</vt:lpstr>
      <vt:lpstr>'Cost Scenarios'!Print_Area</vt:lpstr>
      <vt:lpstr>'Development Costs'!Print_Area</vt:lpstr>
      <vt:lpstr>Sources!Print_Area</vt:lpstr>
      <vt:lpstr>'Staff Costs'!Print_Area</vt:lpstr>
      <vt:lpstr>Summary!Print_Area</vt:lpstr>
      <vt:lpstr>'Update Costs'!Print_Area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Berry</dc:creator>
  <cp:lastModifiedBy>Sean O'Donnell</cp:lastModifiedBy>
  <cp:lastPrinted>2019-07-10T00:56:04Z</cp:lastPrinted>
  <dcterms:created xsi:type="dcterms:W3CDTF">2019-06-12T16:59:21Z</dcterms:created>
  <dcterms:modified xsi:type="dcterms:W3CDTF">2019-09-13T12:45:06Z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fd63e6c0b2664dc9acc95acce9c9a4f9</vt:lpwstr>
  </property>
</Properties>
</file>